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827"/>
  <workbookPr showInkAnnotation="0" defaultThemeVersion="124226"/>
  <mc:AlternateContent xmlns:mc="http://schemas.openxmlformats.org/markup-compatibility/2006">
    <mc:Choice Requires="x15">
      <x15ac:absPath xmlns:x15ac="http://schemas.microsoft.com/office/spreadsheetml/2010/11/ac" url="C:\Users\vjaceslavs.makarovs\Desktop\2014-2020\UnitCost metodikas\9.2.2.1\18. redakcija_FINAL\"/>
    </mc:Choice>
  </mc:AlternateContent>
  <bookViews>
    <workbookView xWindow="0" yWindow="0" windowWidth="28800" windowHeight="11610"/>
  </bookViews>
  <sheets>
    <sheet name="1.1. pielikums" sheetId="1" r:id="rId1"/>
    <sheet name="1.2. pielikums" sheetId="2" r:id="rId2"/>
    <sheet name="1.3. pielikums" sheetId="3" r:id="rId3"/>
    <sheet name="1.4. pielikums" sheetId="4" r:id="rId4"/>
    <sheet name="1.5. pielikums" sheetId="9" r:id="rId5"/>
    <sheet name="1.6. pielikums" sheetId="5" r:id="rId6"/>
    <sheet name="1.7. pielikums" sheetId="6" r:id="rId7"/>
  </sheets>
  <definedNames>
    <definedName name="_xlnm.Print_Titles" localSheetId="1">'1.2. pielikums'!$3:$4</definedName>
    <definedName name="_xlnm.Print_Titles" localSheetId="6">'1.7. pielikums'!$3:$4</definedName>
    <definedName name="Z_BE8ADE53_8BEB_4C68_A52B_650D06D579FF_.wvu.PrintTitles" localSheetId="1" hidden="1">'1.2. pielikums'!$3:$4</definedName>
    <definedName name="Z_BE8ADE53_8BEB_4C68_A52B_650D06D579FF_.wvu.PrintTitles" localSheetId="6" hidden="1">'1.7. pielikums'!$3:$4</definedName>
    <definedName name="Z_CC63F85D_63B9_4AE4_A28C_227DAE744DBC_.wvu.PrintTitles" localSheetId="1" hidden="1">'1.2. pielikums'!$3:$4</definedName>
    <definedName name="Z_CC63F85D_63B9_4AE4_A28C_227DAE744DBC_.wvu.PrintTitles" localSheetId="6" hidden="1">'1.7. pielikums'!$3:$4</definedName>
    <definedName name="Z_DD9369C5_0AB7_4492_8028_68BB156F28A4_.wvu.PrintTitles" localSheetId="1" hidden="1">'1.2. pielikums'!$3:$4</definedName>
    <definedName name="Z_DD9369C5_0AB7_4492_8028_68BB156F28A4_.wvu.PrintTitles" localSheetId="6" hidden="1">'1.7. pielikums'!$3:$4</definedName>
  </definedNames>
  <calcPr calcId="162913" fullCalcOnLoad="1"/>
  <customWorkbookViews>
    <customWorkbookView name="Lilita Cirule - Personal View" guid="{BE8ADE53-8BEB-4C68-A52B-650D06D579FF}" mergeInterval="0" personalView="1" xWindow="5" windowWidth="1915" windowHeight="1160" activeSheetId="2"/>
    <customWorkbookView name="Elvira Grabovska - Personal View" guid="{DD9369C5-0AB7-4492-8028-68BB156F28A4}" mergeInterval="0" personalView="1" maximized="1" xWindow="-8" yWindow="-8" windowWidth="1936" windowHeight="1056" activeSheetId="1"/>
    <customWorkbookView name="Vjaceslavs Makarovs - Personal View" guid="{CC63F85D-63B9-4AE4-A28C-227DAE744DBC}" mergeInterval="0" personalView="1" maximized="1" xWindow="-8" yWindow="-8" windowWidth="1936" windowHeight="1056" activeSheetId="6"/>
  </customWorkbookViews>
  <fileRecoveryPr autoRecover="0"/>
</workbook>
</file>

<file path=xl/calcChain.xml><?xml version="1.0" encoding="utf-8"?>
<calcChain xmlns="http://schemas.openxmlformats.org/spreadsheetml/2006/main">
  <c r="F18" i="6" l="1"/>
  <c r="E18" i="6"/>
  <c r="E17" i="6"/>
  <c r="G17" i="6"/>
  <c r="F17" i="6"/>
  <c r="G5" i="9"/>
  <c r="D18" i="2"/>
  <c r="C18" i="2"/>
  <c r="E6" i="3"/>
  <c r="F6" i="3"/>
  <c r="E5" i="3"/>
  <c r="D7" i="3"/>
  <c r="D6" i="3"/>
  <c r="D5" i="3"/>
  <c r="C7" i="3"/>
  <c r="B5" i="2"/>
  <c r="E7" i="9"/>
  <c r="D7" i="9"/>
  <c r="E5" i="9"/>
  <c r="E7" i="6"/>
  <c r="E6" i="6"/>
  <c r="D7" i="2"/>
  <c r="D6" i="2"/>
  <c r="C5" i="2"/>
  <c r="A15" i="2"/>
  <c r="A14" i="2"/>
  <c r="A13" i="2"/>
  <c r="A12" i="2"/>
  <c r="A11" i="2"/>
  <c r="A10" i="2"/>
  <c r="A9" i="2"/>
  <c r="AA17" i="4"/>
  <c r="AB17" i="4"/>
  <c r="AC17" i="4"/>
  <c r="AD17" i="4"/>
  <c r="AE17" i="4"/>
  <c r="AF17" i="4"/>
  <c r="AG17" i="4"/>
  <c r="AH17" i="4"/>
  <c r="Z17" i="4"/>
  <c r="Y17" i="4"/>
  <c r="V17" i="4"/>
  <c r="AI8" i="4"/>
  <c r="AI9" i="4"/>
  <c r="AI10" i="4"/>
  <c r="AI11" i="4"/>
  <c r="AI12" i="4"/>
  <c r="AI13" i="4"/>
  <c r="AI14" i="4"/>
  <c r="AI15" i="4"/>
  <c r="AI16" i="4"/>
  <c r="AI6" i="4"/>
  <c r="AI5" i="4"/>
  <c r="AI17" i="4"/>
  <c r="X5" i="4"/>
  <c r="AJ7" i="4"/>
  <c r="D5" i="9"/>
  <c r="D6" i="9"/>
  <c r="F6" i="6"/>
  <c r="G7" i="6"/>
  <c r="E8" i="6"/>
  <c r="G8" i="6"/>
  <c r="E11" i="6"/>
  <c r="G11" i="6"/>
  <c r="F11" i="6"/>
  <c r="E12" i="6"/>
  <c r="G12" i="6"/>
  <c r="F12" i="6"/>
  <c r="E13" i="6"/>
  <c r="F13" i="6"/>
  <c r="E14" i="6"/>
  <c r="G14" i="6"/>
  <c r="E16" i="6"/>
  <c r="F16" i="6"/>
  <c r="F20" i="6"/>
  <c r="F21" i="6"/>
  <c r="E19" i="6"/>
  <c r="G19" i="6"/>
  <c r="M5" i="4"/>
  <c r="M6" i="4"/>
  <c r="AJ6" i="4"/>
  <c r="X6" i="4"/>
  <c r="M8" i="4"/>
  <c r="AJ8" i="4"/>
  <c r="D10" i="2"/>
  <c r="C10" i="2"/>
  <c r="X8" i="4"/>
  <c r="X17" i="4"/>
  <c r="M9" i="4"/>
  <c r="AJ9" i="4"/>
  <c r="X9" i="4"/>
  <c r="M10" i="4"/>
  <c r="AJ10" i="4"/>
  <c r="D9" i="2"/>
  <c r="C9" i="2"/>
  <c r="X10" i="4"/>
  <c r="M11" i="4"/>
  <c r="AJ11" i="4"/>
  <c r="D11" i="2"/>
  <c r="C11" i="2"/>
  <c r="X11" i="4"/>
  <c r="M12" i="4"/>
  <c r="M17" i="4"/>
  <c r="X12" i="4"/>
  <c r="M13" i="4"/>
  <c r="AJ13" i="4"/>
  <c r="X13" i="4"/>
  <c r="M14" i="4"/>
  <c r="AJ14" i="4"/>
  <c r="D14" i="2"/>
  <c r="C14" i="2"/>
  <c r="X14" i="4"/>
  <c r="M15" i="4"/>
  <c r="AJ15" i="4"/>
  <c r="D16" i="2"/>
  <c r="C16" i="2"/>
  <c r="X15" i="4"/>
  <c r="M16" i="4"/>
  <c r="AJ16" i="4"/>
  <c r="D13" i="2"/>
  <c r="C13" i="2"/>
  <c r="X16" i="4"/>
  <c r="C17" i="4"/>
  <c r="D17" i="4"/>
  <c r="E17" i="4"/>
  <c r="F17" i="4"/>
  <c r="G17" i="4"/>
  <c r="H17" i="4"/>
  <c r="I17" i="4"/>
  <c r="J17" i="4"/>
  <c r="K17" i="4"/>
  <c r="L17" i="4"/>
  <c r="N17" i="4"/>
  <c r="O17" i="4"/>
  <c r="P17" i="4"/>
  <c r="Q17" i="4"/>
  <c r="R17" i="4"/>
  <c r="S17" i="4"/>
  <c r="T17" i="4"/>
  <c r="U17" i="4"/>
  <c r="W17" i="4"/>
  <c r="F19" i="6"/>
  <c r="G13" i="6"/>
  <c r="AJ5" i="4"/>
  <c r="D15" i="2"/>
  <c r="C15" i="2"/>
  <c r="G16" i="6"/>
  <c r="F14" i="6"/>
  <c r="AJ12" i="4"/>
  <c r="D12" i="2"/>
  <c r="C12" i="2"/>
  <c r="AJ17" i="4"/>
  <c r="G18" i="6"/>
  <c r="F5" i="3"/>
  <c r="G20" i="6"/>
  <c r="G21" i="6"/>
  <c r="G22" i="6"/>
  <c r="F22" i="6"/>
  <c r="F7" i="3"/>
  <c r="D17" i="2"/>
  <c r="C17" i="2"/>
  <c r="C8" i="2"/>
  <c r="C19" i="2"/>
  <c r="E7" i="3"/>
  <c r="D5" i="2"/>
  <c r="D8" i="2"/>
  <c r="D19" i="2"/>
  <c r="E14" i="2"/>
  <c r="E10" i="2"/>
  <c r="E7" i="2"/>
  <c r="E15" i="2"/>
  <c r="E9" i="2"/>
  <c r="E13" i="2"/>
  <c r="E16" i="2"/>
  <c r="E5" i="2"/>
  <c r="E17" i="2"/>
  <c r="E11" i="2"/>
  <c r="E12" i="2"/>
  <c r="E18" i="2"/>
  <c r="E6" i="2"/>
  <c r="E8" i="2"/>
  <c r="E19" i="2"/>
</calcChain>
</file>

<file path=xl/sharedStrings.xml><?xml version="1.0" encoding="utf-8"?>
<sst xmlns="http://schemas.openxmlformats.org/spreadsheetml/2006/main" count="215" uniqueCount="175">
  <si>
    <t>%</t>
  </si>
  <si>
    <t>Aprēķins</t>
  </si>
  <si>
    <t>Pakalpojuma izmaksas kopā</t>
  </si>
  <si>
    <t>X</t>
  </si>
  <si>
    <t>aprūpētājs</t>
  </si>
  <si>
    <t>Saimniecības un higiēnas preces</t>
  </si>
  <si>
    <t>Ar administrēšanas darbību saistītie izdevumi (darba aizsardzība, bankas pakalpojumi utt.)</t>
  </si>
  <si>
    <t>Atlīdzības izmaksas kopā</t>
  </si>
  <si>
    <t xml:space="preserve">Speciālistu (slodžu) skaits </t>
  </si>
  <si>
    <t>Sakaru pakalpojumi (telefons, internets, pasts)</t>
  </si>
  <si>
    <t xml:space="preserve">Aprūpētājs 40 stundas nedēļā (8 stundas darba dienā) </t>
  </si>
  <si>
    <t xml:space="preserve">Plānotais klientu skaits </t>
  </si>
  <si>
    <t xml:space="preserve"> Slodze</t>
  </si>
  <si>
    <t xml:space="preserve">Izmaksas mēnesī               </t>
  </si>
  <si>
    <t>Fiksētais tālrunis</t>
  </si>
  <si>
    <t>Mobilais tālrunis</t>
  </si>
  <si>
    <t>Drošības pogas iekārtu ar fiksētās tālruņu līnijas pieslēgumu iegāde (ar PVN un piegādi)</t>
  </si>
  <si>
    <t>Iekārtu iegāde</t>
  </si>
  <si>
    <t>Vienības</t>
  </si>
  <si>
    <t>36 mēneši/                 3 gadi</t>
  </si>
  <si>
    <t>1 pieslēgums mēnesī</t>
  </si>
  <si>
    <t>Vadītājs</t>
  </si>
  <si>
    <t>Centrāles darba  nodrošinājuma izmaksas  (telefons, telpas, tehnika, komunālās izmaksas u.c. )</t>
  </si>
  <si>
    <t>1 mēnesis</t>
  </si>
  <si>
    <t>Operators (lai nodrošinātu darbu 24 stundas diennaktī nepieciešamas 3 slodzes)</t>
  </si>
  <si>
    <t>Reģionālie "Drošības pogas" pakalpojumu centri (vienā centrā apkalpo vidēji 200 klientus)</t>
  </si>
  <si>
    <t>Aprūpe mājās</t>
  </si>
  <si>
    <t>Pakalpojuma mērķis</t>
  </si>
  <si>
    <t xml:space="preserve">Pakalpojumi klienta mājās pamatvajadzību apmierināšanai personām, kuras objektīvu apstākļu dēļ nevar sevi aprūpēt. </t>
  </si>
  <si>
    <t>Pakalpojuma saņemšanas nosacījumi</t>
  </si>
  <si>
    <t>Pakalpojuma apjoms</t>
  </si>
  <si>
    <t>Aprēķinu paskaidrojums</t>
  </si>
  <si>
    <t>Pienākumu apraksts</t>
  </si>
  <si>
    <t>Izdevumu pozīcija</t>
  </si>
  <si>
    <t>AM1</t>
  </si>
  <si>
    <t>AM2</t>
  </si>
  <si>
    <t>AM3</t>
  </si>
  <si>
    <t>AM4</t>
  </si>
  <si>
    <t>AM5</t>
  </si>
  <si>
    <t>AM6</t>
  </si>
  <si>
    <t>AM7</t>
  </si>
  <si>
    <t>AM8</t>
  </si>
  <si>
    <t>AM9</t>
  </si>
  <si>
    <t>AM10</t>
  </si>
  <si>
    <t>Transports (degviela, īre, apkope, adrošināšana u.c.)</t>
  </si>
  <si>
    <t>Telpas (īre, komunālie maksājumi, uzturēšanas pasākumi)</t>
  </si>
  <si>
    <t>Darba devēja apmaksātie veselības izdevumi</t>
  </si>
  <si>
    <t>Darbinieku izglītības izdevumi</t>
  </si>
  <si>
    <t>Ar admin.darbību saistītie izdevumi (darba aizsardz.sist.uzturēš.pak., bankas konta apkalp. u.c.)</t>
  </si>
  <si>
    <t>Inventārs, inventāra remonts (materiāli un pakalpojums)</t>
  </si>
  <si>
    <t xml:space="preserve">Pakalpojums </t>
  </si>
  <si>
    <t xml:space="preserve">Datu avoti </t>
  </si>
  <si>
    <t>Informācija par sociālo pakalpojumu sniedzējiem, kuru sniegtā informācija tika analizēta veidojot pakalpojuma "Aprūpe mājās"  izmaksas</t>
  </si>
  <si>
    <t>Iekārtas iegādājās mazāk nekā 500 gab. un tās  apkalpo maksimāli 1000 klientus</t>
  </si>
  <si>
    <t>Aprēķini/paskaidrojums</t>
  </si>
  <si>
    <t>1 mēnesis/ 1000 klienti</t>
  </si>
  <si>
    <t>1 mēnesis/ 200 klienti</t>
  </si>
  <si>
    <t>5 gadi/            60 mēneši/ 200 klienti</t>
  </si>
  <si>
    <t>7 gadi/                  84 mēneši/ 1000 klienti</t>
  </si>
  <si>
    <t>Zvanu centra (Centrāles) nodrošinājums līdz 1000 klientiem</t>
  </si>
  <si>
    <t>Amatu apraksts</t>
  </si>
  <si>
    <t>Kancelejas preces un biroja preces</t>
  </si>
  <si>
    <t>euro</t>
  </si>
  <si>
    <t>Izmaksas mēnesī, euro</t>
  </si>
  <si>
    <t>Kopējās veselības apdrošināšanas izmaksas gadā, euro*</t>
  </si>
  <si>
    <t>4=3*213.43 euro</t>
  </si>
  <si>
    <t>5=4/2</t>
  </si>
  <si>
    <t xml:space="preserve">Darba devēja apmaksātie veselības apdrošināšanas izdevumi </t>
  </si>
  <si>
    <t>Vidējās izm. 2014. gadā</t>
  </si>
  <si>
    <t xml:space="preserve">Kopējās vidējās izm., euro </t>
  </si>
  <si>
    <t>1.3. pielikums</t>
  </si>
  <si>
    <t>1.2. pielikums</t>
  </si>
  <si>
    <t>1.4. pielikums</t>
  </si>
  <si>
    <t>1.5. pielikums</t>
  </si>
  <si>
    <t>* Visi aprēķini veidoti pēc vienīgā pakalpojuma sniedzēja biedrības "Latvijas Samariešu apvienība" sniegtās informācijas par faktiskajiem izdevumiem.</t>
  </si>
  <si>
    <t>1.6. pielikums</t>
  </si>
  <si>
    <t>Ar pakalpojuma  administrēšanu, prasību nodrošināšanu un uzturēšanu saistītās izmaksas kopā</t>
  </si>
  <si>
    <t>GSM pieslēgums – telefona karte, abonēšana un sarunas (vidēji)</t>
  </si>
  <si>
    <t>Zvanu centra personāla resursi – komunikācija (centrāles  personāla izmaksas)</t>
  </si>
  <si>
    <t>Telpas Rīgā, Visbijas prospektā 18 kopējā platība 978.2 m2, Zvanu centrs 60 m2 (t.i, 6.13 % no kopējās platības).  Attiecināmās izmaksas 6.13 % no kopējām izmaksām ir 750 euro mēnesī (t.sk.: (1) telpu un zemes noma – 69.16 euro; (2) apkure – 61.97 euro; (3) elektroenerģija – 20.52 euro;  (4) komunālie paklpojumi – 13.21 euro; (5) centrāles sakaru pakalpojumi (8 tālruņa līnijas) – 220.34 euro; (6) transporta izdevumi: amorizācija – 71.66 euro; (7) degviela – 218.73 euro;  (8) remonts – 46.46 euro; (9) autopreces – 14.00 euro; (10) stāvvietas, teh.apskate – 13.95 euro.</t>
  </si>
  <si>
    <t>Centrāles iegāde uzturēšana, programmatūras atjaunošana – pārjaunošana</t>
  </si>
  <si>
    <t>Vadītājs/tehniķis – informācija, procesa organizācija, klientu informēšana, klientu lietas, sadarbība ar pašvaldībām, tehniskās funkcijas, programmēšana  u.c.</t>
  </si>
  <si>
    <t xml:space="preserve">Izbraukumu brigādes personāla izsmaksas – 5 aprūpētāji 24 stundas diennnaktī </t>
  </si>
  <si>
    <t>Reģionālā centra aprīkojuma nodrošinājums – automašīna, palīgierīces transportēšanai,  PP materiāli, spectērpi, u.c.</t>
  </si>
  <si>
    <t>Pakalpojuma nodrošināšnas ikdienas izdevumi – degviela, telpas, komunikācija, dokumenti u.c.</t>
  </si>
  <si>
    <t>Pienākumi: (1) organizē centrāles darbu un nodrošina Zvanu centra vispārējo funkcionalitāti; (2) izstrādā un saskaņo darbinieku darba grafikus, veic darba laika uzskaiti u.c. uzdevumus; (3) organizē tehnisko resursu iegādi, uzskaiti, t.sk. drošības pogu uzskaiti,  uzglabāšanu un izsniegšanu; (4) plāno resursu efektīvu izmantošanu, organizē un veic drošības pogu pieslēgumus; (5) veic klientu lietās esošo dokumentu termiņu kontroli un aktuālo dokumentu iegūšanai nepieciešamo koordināciju; (6) uzglabā un uztur Drošības pogas pakalpojuma klientu lietas.</t>
  </si>
  <si>
    <t>Nr. p.k.</t>
  </si>
  <si>
    <t>Vidējās izm. 2015. gadā</t>
  </si>
  <si>
    <t xml:space="preserve">Drošības pogas iekārtu ar mobilo (GSM) tālruņu līnijas pieslēgumu iegāde (ar PVN un piegādi) </t>
  </si>
  <si>
    <t>Supervīzija</t>
  </si>
  <si>
    <t>Supervīzijas cena vienam darbiniekam, euro/gadā*</t>
  </si>
  <si>
    <t>4=2/3</t>
  </si>
  <si>
    <t>Speciālists</t>
  </si>
  <si>
    <t>Institūcijas un struktūrvienības vadītājs</t>
  </si>
  <si>
    <t>Pārējie darbinieki</t>
  </si>
  <si>
    <t>Supervīzijas izmaksas par darba stundu (viens darbinieks)</t>
  </si>
  <si>
    <t>Vidējās supervīzijas izmaksas par darba stundu (viens darbinieks)</t>
  </si>
  <si>
    <t>1.7. pielikums</t>
  </si>
  <si>
    <t>* Atlīdzība - pakalpojuma sniedzēju izmaksu apkopojums un vidējo izmaksu aprēķins netiek iekļauts vienas vienības izmaksu standara likmes aprēķinā, jo darbinieku atlīdzība aprēķināta saskaņā ar Ministru kabineta 2013. gada 29. janvāra noteikumiem Nr. 66 "Noteikumi par valsts un pašvaldību institūciju amatpersonu un darbinieku darba samaksu un tās noteikšanas kārtību" (skat. 1.2. pielikumu).</t>
  </si>
  <si>
    <t>*** Vidējās supervīzijas izmaksas darba stundā aprēķinātas diviem darbiniekiem, ņemot vērā, ka vienas vienības izmaksu standarta likmes aprēķinā pieņemts, ka pakalpojumu nodrošina divi darbinieki.</t>
  </si>
  <si>
    <t>Vidējās supervīzijas izmaksas par darba stundu (divi darbinieki)***</t>
  </si>
  <si>
    <t>** Gada standarta darba laiks noteikts saskaņā ar Eiropas Parlamenta un Padomes Regulas (ES) Nr. 1303/2013 (2013. gada 17. decembris) "ar ko paredz kopīgus noteikumus par Eiropas Reģionālās attīstības fondu, Eiropas Sociālo fondu, Kohēzijas fondu, Eiropas Lauksaimniecības fondu lauku attīstībai un Eiropas Jūrlietu un zivsaimniecības fondu un vispārīgus noteikumus par Eiropas Reģionālās attīstības fondu, Eiropas Sociālo fondu, Kohēzijas fondu un Eiropas Jūrlietu un zivsaimniecības fondu un atceļ Padomes Regulu (EK) Nr. 1083/2006" 68. panta 2. punktu.</t>
  </si>
  <si>
    <t xml:space="preserve">Darba laiks gadā** </t>
  </si>
  <si>
    <t>Supervīzijas izmaksu aprēķins pakalpojumam "Aprūpe mājās"</t>
  </si>
  <si>
    <t>5=4 (vidējais)</t>
  </si>
  <si>
    <t>Vidējās izm. 2016. gadā</t>
  </si>
  <si>
    <t>aprūpētāja darba kordinators</t>
  </si>
  <si>
    <t>Pakalpojuma "Aprūpe mājās" apraksts</t>
  </si>
  <si>
    <t>Lai klients saņemtu pakalpojumu, sociālais dienests izvērtē klienta funkcionālo spēju traucējuma pakāpi, nosaka klienta aprūpes līmeni un nepieciešamo aprūpes mājās pakalpojumu apjomu (veicamos darbus un darbu apjomu).</t>
  </si>
  <si>
    <t xml:space="preserve">Pakalpojuma sniedzējs aprūpes mājās (regulārā) pakalpojuma ietvaros saskaņā ar 2017. gada 13. jūnija noteikumiem Nr. 338 "Prasības sociālo pakalpojumu sniedzējiem" 16. punktu nodrošina klientam personisko atbalstu un palīdzību šādu darbību veikšanā: 
- palīdzība personiskās higiēnas nodrošināšanā (piemēram, mazgāšanās, inkontinences līdzekļu nomaiņa, ķemmēšanās, skūšanās, protēžu kopšana), neiekļaujot podologa pakalpojumus;
- palīdzība apģērbties un noģērbties,  gultas veļas nomaiņa u. tml; 
- palīdzība iekļūt un izkļūt no gultas, pozicionēšana un pārvietošanās;
- ēdiena gatavošana un palīdzība ēdot;
- pārtikas produktu, medikamentu un citu sīku preču piegāde;
- palīdzība mājvietas uzkopšanā (piemēram, trauku mazgāšana, telpu mitrā uzkopšana, sadzīves atkritumu iznešana, grīdas mazgāšana);
- ārstniecības personas izsaukšana, atbalsts medikamentu lietošanā, palīdzība sadarbībā ar dažādām institūcijām (piemēram, rēķinu nomaksā);
- kurināmā piegāde telpās, krāsns kurināšana;
- citi darbi atbilstoši noslēgtajam līgumam.
Ja klienta funkcionālais stāvoklis ir mainīgs un regulāra aprūpe nav nepieciešama, bet pastāv iespēja nonākt bezpalīdzīgā stāvoklī, aprūpes mājās pakalpojuma sniedzējs nodrošina aprūpi mājās pēc īpaša izsaukuma – "drošības poga" –, organizējot pasākumus atbilstoši vajadzībai un noslēgtajam līgumam. Minētā pakalpojuma ietvaros klientam nodrošina saziņas iekārtu nodošanu klienta lietošanā uz pakalpojuma sniegšanas laiku, to apkopi, centrāles tehnisko nodrošinājumu un darbinieku gatavību pieņemt "drošības pogas" signālu no klienta 24 stundas diennaktī. </t>
  </si>
  <si>
    <t>Klientam nepieciešamais pakalpojuma apjoms tiek pielāgots individuāli, atbilstoši katra klienta vajadzībām. Pastāvot dažādām līmeņu noteikšanas un pakalpojuma apjoma aprēķināšanas sistēmām dažādās pašvaldībās, vidēji vienam klientam tiek nodrošināta aprūpe: 
• pirmajam aprūpes līmenim – līdz 4 stundām nedēļā;
• otrajam aprūpes līmenim – līdz 8 stundām nedēļā;
• trešajam aprūpes līmenim – līdz 12 stundām nedēļā;
• ceturtajam aprūpes līmenim – līdz 25 stundām nedēļā.</t>
  </si>
  <si>
    <r>
      <t>P</t>
    </r>
    <r>
      <rPr>
        <b/>
        <sz val="11"/>
        <color indexed="8"/>
        <rFont val="Times New Roman"/>
        <family val="1"/>
        <charset val="186"/>
      </rPr>
      <t>akalpojuma "Aprūpe mājās" vienas vienības izmaksu standarta likmes aprēķins</t>
    </r>
  </si>
  <si>
    <t xml:space="preserve">Aprūpētāju darba koordinātors koordinē 100 aprūpētāju darbu un 400 klientus. Pienākumi: (1) nodrošina informācijas apmaiņu un dokumentu apriti dokumentu pārraudzību (termiņu kontrole); (2) kārto un uztur klientu lietas, nodrošinot aprūpes dokumentācijas – līgumu, aktuālo aprūpes plānu, aprūpes darba uzskaites veidlapu kvalitātes novērtējuma un citu iekļaušanu tajās; (3) sadarbībā ar sociālo darbinieku vai sociālo aprūpētāju veic klienta pirmreizējo apsekošanu; (4) sastāda aprūpētāju darba grafikus, seko to ievērošanai un veic darba laika uzskaiti; (5) organizē aprūpētāju sapulces; (6) pārzina aprūpētāja darba pienākumus un darbā pielietojamās metodes; (7) nepieciešamības gadījumā veic aprūpētāja darba pienākumus. </t>
  </si>
  <si>
    <t>0.05 euro/h * 8 h * 21 darba diena = 8.40 euro/mēn.</t>
  </si>
  <si>
    <t>0.01 euro/h * 8 h * 21 darba diena = 1.68 euro/mēn.</t>
  </si>
  <si>
    <t>0.04 euro/h * 8 h * 21 darba diena = 6.72 euro/mēn.</t>
  </si>
  <si>
    <t>0.07 euro/h * 8 h * 21 darba diena = 11.76 euro/mēn.</t>
  </si>
  <si>
    <t>0.14 euro/h * 8 h * 21 darba diena = 23.52 euro/mēn.</t>
  </si>
  <si>
    <t>0.03 euro stundā * 8 h *21 darba diena = 5.04 euro/mēn.</t>
  </si>
  <si>
    <t>0.03 euro/h * 8 h * 21 darba diena = 5.04 euro/mēn.</t>
  </si>
  <si>
    <t>Veselības apdrošināšanas izmaksu aprēķins pakalpojumam "Aprūpe mājās"</t>
  </si>
  <si>
    <r>
      <t>6=5/252 darba diena (vidēji gadā) /8 h</t>
    </r>
    <r>
      <rPr>
        <strike/>
        <sz val="11"/>
        <color indexed="30"/>
        <rFont val="Times New Roman"/>
        <family val="1"/>
        <charset val="186"/>
      </rPr>
      <t/>
    </r>
  </si>
  <si>
    <t>**** Sociālā darba speciālisti - sociālais darbinieks, sociālais rehabilitētājs un sociālais aprūpētājs.</t>
  </si>
  <si>
    <t>Sociālā darba speciālists****</t>
  </si>
  <si>
    <t>Darbinieku skaits</t>
  </si>
  <si>
    <t>7=5*6</t>
  </si>
  <si>
    <t>0.08 euro/h * 8 h * 21 darba diena = 13.44 euro/mēn.</t>
  </si>
  <si>
    <t xml:space="preserve">Aprūpētāju darba koordinātors 40 stundas nedēļā (8 stundas darba dienā) </t>
  </si>
  <si>
    <t>Atlīdzība*</t>
  </si>
  <si>
    <t>Ēdināšanas izdevumi**</t>
  </si>
  <si>
    <t>Mācību materiāli un līdzekļi**</t>
  </si>
  <si>
    <t>Pakalpojuma "Aprūpe mājās" sniedzēju izmaksu apkopojums un vidējo izmaksu aprēķins</t>
  </si>
  <si>
    <t>Kopā:</t>
  </si>
  <si>
    <t>Pakalpojuma saturs</t>
  </si>
  <si>
    <t>Vidējās izmaksas aprēķinātas saskaņā ar 10 AM iesniegtajām izmaksu tāmēm par 2014., 2015. un 2016. gadu. Aprēķinus skat. 1.4. pielikumā.</t>
  </si>
  <si>
    <t>Aprēķinu skat. 1.3. pielikumā.</t>
  </si>
  <si>
    <t>Viens aprūpētētājs apkalpo vidēji četrus klientus mēnesī, veltot vienam klientam vidēji 10 stundas nedēļā.
Pienākumi: palīdzēt personām, kuras pašas sevi nevar aprūpēt, veikt vai sniegt palīdzību personīgās higiēnas un rūpēs par izskatu darbībās, apģērbties un noģērbties, sagatavot un uzņemt ēdienu, pozicionēšanā un pārvietošanās, palīdzību mājas darbu veikšanā sniegt konsultācijas par aprūpi mājās.</t>
  </si>
  <si>
    <t>Veselības apdrošināšanas izmaksas par 1 klientu/gadā, euro</t>
  </si>
  <si>
    <t>* Likuma par iedzīvotāju ienākuma nodokli 8. panta 5. daļa nosaka, ka "No maksātāja ienākumiem, par kuriem maksā algas nodokli [...] veselības vai nelaimes gadījumu apdrošināšanas prēmiju summas, kas nepārsniedz 10 procentus no maksātājam aprēķinātās bruto darba samaksas taksācijas gadā, bet ne vairāk kā 426,86 euro gadā [...]" un savukārt Valsts un pašvaldību institūciju amatpersonu un darbinieku atlīdzības likumā paredzētās normas (37. pants 1.; 2. daļa) nosaka, ka "[...] veselības apdrošināšanas prēmija nedrīkst pārsniegt normatīvajos aktos par iedzīvotāju ienākuma nodokli noteikto apmēru. Šā panta trešajā, ceturtajā, piektajā vai sestajā daļā neminētas amatpersonas (darbinieka) veselības apdrošināšanas polises cena nedrīkst pārsniegt pusi no normatīvajos aktos par iedzīvotāju ienākuma nodokli noteiktā apmēra. Ja apdrošināšanas polises cena pārsniedz minēto apmēru, amatpersona (darbinieks) sedz cenu starpību", t.i.:  213.43 euro.</t>
  </si>
  <si>
    <t>Veselības apdrošināšanas izmaksas par 1 klientu/h, euro</t>
  </si>
  <si>
    <t>Speciālisti</t>
  </si>
  <si>
    <t>Izmaksas par vienu klientu stundā 2014. gadā, euro</t>
  </si>
  <si>
    <t>Izmaksas par vienu klientu stundā 2015. gadā, euro</t>
  </si>
  <si>
    <t>Izmaksas par vienu klientu stundā 2016. gadā, euro</t>
  </si>
  <si>
    <r>
      <t xml:space="preserve">Saskaņā ar pakalpojumu sniedzēja sniegto informāciju par izmaksām – cena: 
140.80 euro + 21 % (PVN) + 1 euro (par piegādi) </t>
    </r>
    <r>
      <rPr>
        <sz val="11"/>
        <rFont val="Times New Roman"/>
        <family val="1"/>
        <charset val="186"/>
      </rPr>
      <t>= 140.80 euro + 29.57 euro (PVN) + 1 euro (par piegādi) = 171.37 euro.</t>
    </r>
  </si>
  <si>
    <r>
      <t xml:space="preserve">izmaksas vienai personai mēnesī </t>
    </r>
    <r>
      <rPr>
        <b/>
        <i/>
        <sz val="11"/>
        <rFont val="Times New Roman"/>
        <family val="1"/>
        <charset val="186"/>
      </rPr>
      <t>euro</t>
    </r>
  </si>
  <si>
    <r>
      <t xml:space="preserve">izmaksas vienai personai mēnesī, </t>
    </r>
    <r>
      <rPr>
        <b/>
        <i/>
        <sz val="11"/>
        <rFont val="Times New Roman"/>
        <family val="1"/>
        <charset val="186"/>
      </rPr>
      <t xml:space="preserve">euro </t>
    </r>
  </si>
  <si>
    <t>Pienākumi : dežūrē centrālē – (1) sniedz konsultācijas un reaģē uz klientu zvaniem un trauksmes signāliem; (2) sniedz informāciju par pakalpojumiem, cenām, iespējām pa telefonu un citām sakaru sistēmām; (3) aizpilda reģistrācijas žurnālus un veic ierakstus datu uzskaites programmās.</t>
  </si>
  <si>
    <t>1.1. pielikums</t>
  </si>
  <si>
    <t>Izmaksas par 1 klientu stundā</t>
  </si>
  <si>
    <t>Aprūpētājs saskaņā ar MK 30.11.2010. noteikumiem Nr. 1075 klasificējas 39.saimē, I līmenī. 
Aprūpētājam saskaņā MK 29.01.2013. noteikumu Nr. 66 2. pielikumu attiecināma – 3. mēnešalgu grupa 3. kategorija.
Aprūpētāja atalgojums mēnesī:
1) 608 euro + 24.09 % (DD soc.nod) = 754.70 euro/mēn.
Papildus aprūpētajam saskaņā ar MK 29.01.2013. noteikumu Nr. 66 31. punktu tiek maksāta piemaksa līdz 25 % apmērā no mēneša atalgojuma (jo amata pienākumi tiek pielīdzināti aprūpētāja darbam ilgstošas sociālās aprūpes un sociālās rehabilitācijas iestādē pilngadīgām personām):
2) 754.70 euro/mēn. + 25 % = 943.38 euro/mēn.</t>
  </si>
  <si>
    <r>
      <t xml:space="preserve">1) 608 euro * 24.09 % = 146.47 euro/mēn.;
2) 608 euro + 146.47 euro = 754.70 euro/mēn.;
3) 754.70 euro + 188.68 euro (piemaksa 25 %) = 943.38 euro/mēn.;
4) 943.38 euro / 21 darba diena / 8 h = 5.62 euro/h.
</t>
    </r>
    <r>
      <rPr>
        <strike/>
        <sz val="11"/>
        <rFont val="Times New Roman"/>
        <family val="1"/>
        <charset val="186"/>
      </rPr>
      <t/>
    </r>
  </si>
  <si>
    <t>Aprūpētāju darba koordinātors tiek pielīdzināts sociālajam aprūpētājam, kas saskaņā ar MK 30.11.2010. noteikumiem Nr. 1075 klasificējas 39.saimē, IIB līmenī.
Aprūpētāju darba koordinātoram saskaņā ar MK 29.01.2013. noteikumu Nr. 66 2. pielikumu attiecināma – 5. mēnešalgu grupa 3. kategorija. Sociālajam aprūpētajam atalgojums mēnesī: 
1) 802 euro + 24.09 % (DD soc.nod.) = 995.20 euro/mēn.</t>
  </si>
  <si>
    <t>1) 802 euro * 24.09 % = 193.20 euro;
2) 802 euro + 193.20 euro = 995.20 euro;
3) 995.20 euro / 400 klienti / 21 darba diena / 8 h = 0.01 euro/h par 1 klientu.</t>
  </si>
  <si>
    <t>Aprēķinu skat. 1.5. pielikumā.
Obligātās supervīzijas prasības sociālo pakalpojumu sniedzējiem noteiktas MK 13.06.2017. noteikumu Nr. 338 9.2. apakšpunktā un 186. punktā.</t>
  </si>
  <si>
    <t>Telpu īres izmaksas, komunālie pakalpojumi (apkure, ūdens un kanalizācija, elektrība, gāze, atkritumu izvešana) un uzturēšanas pakalpojumi (apdrošināšana, signalizācijas sistēmu uzstādīšana, remontdarbu pakalpojumi).</t>
  </si>
  <si>
    <t>* Supervīzijas cena vienam darbiniekam (euro/gadā) noteikta atbilstoši MK 13.06.2017. noteikumu Nr. 338 "Prasības sociālo pakalpojumu sniedzējiem"  sākotnējās ietekmes novērtējuma ziņojuma (anotācijai) 6. pielikuma "Supervīzijas cenas aprēķins vienam darbiniekam" aprēķinam.</t>
  </si>
  <si>
    <t>Izmaksas par vienību, euro</t>
  </si>
  <si>
    <t>LMT pieslēguma abonēšana = 0.86 euro, sarunas ar klientu vidēji mēnesī = 1.64 euro.</t>
  </si>
  <si>
    <t>Saskaņā ar pakalpojumu sniedzēja sniegto informāciju par izmaksām – vienas vienības cena:
1) 237 euro + 21 % (PVN) + 1 euro (par piegādi) = 286.77 euro +1 euro par piegādi = 287.77 euro.</t>
  </si>
  <si>
    <t>Operators saskaņā ar MK 30.11.2010. noteikumiem Nr. 1075 klasificējas 23.saimē, IIIA līmenī.
Operaturam saskaņā ar MK 29.01.2013. noteikumu Nr. 66 2. pielikumu attiecināma – 8 mēnešalgu grupa 3 maksimālā kateogorija.
Operatora atalgojums mēnesī:
1) 1093 euro + 24.09 % ( DD soc. nod.) = 1093 euro + 263.30 euro = 1356.30 euro.</t>
  </si>
  <si>
    <t>Saskaņā ar pakalpojumu sniedzēja sniegto informāciju par izmaksām.</t>
  </si>
  <si>
    <t xml:space="preserve">Vadītājs saskaņā ar MK 30.11.2010. noteikumiem Nr. 1075 klasificējas 23.saimē, IIIB līmenī.
Vadītājs saskaņā ar MK 29.01.2013. noteikumu Nr. 66 2. pielikumu attiecināma – 9. mēnešalgu grupa 3. maksimālā kateogorija.
Vadītāja atalgojums mēnesī:
1) 1190 euro + 24.09 % (DD soc. nod.) = 1190 euro + 286.67 euro = 1476.67 euro.
</t>
  </si>
  <si>
    <t>Pienākumi: organizē informācijas, procesa organizācijas, klientu informēšanas, klientu lietu, sadarbības ar pašvaldībām, tehniskās funkcijas, programmēšana u.c. funkcijas.</t>
  </si>
  <si>
    <t>Vadītājs/tehniķis saskaņā ar MK 30.11.2010. noteikumiem Nr. 1075 klasificējas 23.saimē, IIA līmenī.
Vadītājam/tehniķim saskaņā ar MK 29.01.2013. noteikumu Nr. 66 2. pielikumu attiecināma – 6. mēnešalgu grupa 3. maksimālā kateogorija.
Vadītāja/tehniķa atalgojums mēnesī:
1) 899 euro + 24.09 % (DD soc. nod.) = 899 euro + 216.57 euro = 1115.57 euro</t>
  </si>
  <si>
    <t>Pienākumi: palīdzēt personām, kuras pašas sevi nevar aprūpēt veikt vai sniegt palīdzību personīgās higiēnas un rūpēs par izskatu darbībās, apģērbties un noģērbties, sagatavot un uzņemt ēdienu, pozicionēšanā un pārvietošanās, palīdzību mājas darbu veikšanā sniegt konsultācijas par aprūpi mājās. Izbraukumos aprūpē klientus viņu dzīves vietā: dežūras laikā ārkārtas izsaukumus realizē nekavējoties; nepieciešamības gadījumā sniedz pirmo palīdzību; gadījumos, kad klientam nepieciešama neatliekamā medicīniskā palīdzība, nekavējoties izsauc neatliekamo medicīnisko palīdzību.</t>
  </si>
  <si>
    <t>Administrēšanas izmaksas 10 % no pakalpojuma izmaksām</t>
  </si>
  <si>
    <t>Transports ar aprīkojumu: Amortizācija 385.13 euro, PP aprīkojums 6.99 euro, speciālais apģērbs 17.05 euro.
1) 385.13 euro + 6.99 euro + 17.05 euro = 409.17 euro/mēn.
2) 409.17 euro / 200 klientiem = 2.05 euro/mēn. (par 1 klientu).</t>
  </si>
  <si>
    <t>Aprūpētājs saskaņā ar MK 30.11.2010. noteikumiem Nr. 1075 klasificējas 39.saimē, I līmenī. 
Aprūpētājam saskaņā ar MK 29.01.2013. noteikumu Nr. 66 2. pielikumu attiecināma – 3. mēnešalgu grupa 3. kategorija.
Aprūpētāja atalgojums mēnesī:
1) 608 euro * 24.09 % (DD soc.nod) = 146.47 euro/mēn.;
2) 608 euro + 146.47 euro = 754.47 euro/mēn.
Papildus aprūpētajam saskaņā ar MK 29.01.2013. noteikumu Nr. 66 31. punktu tiek maksāta piemaksa līdz 25 % apmērā no mēneša atalgojuma (jo amata pienākumi tiek pielīdzināti aprūpētāja darbam ilgstošas sociālās aprūpes un sociālās rehabilitācijas iestādē pilngadīgām personām):
3) 754.47 euro/mēn. * 25 % = 188.62 euro/mēn.;
4) 754.47 euro + 188.62 euro = 943.09 euro/mēn.
Aprūpētāju atalgojums mēnesī par vienu klientu:
1)  943.09 euro * 5 aprūpētāji = 4715.45 euro (par 200 klientiem);
2) 4715.45 euro / 200 klientiem = 23.48 euro/mēn. (par 1 klientu).</t>
  </si>
  <si>
    <t>Degviela 430.75 euro; telpu noma; 160.00 euro; sakru pakalpojumi 159.45 euro; kancelejas preces 19.80 euro.
1) 430.75 euro + 160 euro + 159.45 euro + 19.80 euro = 770 euro/mēn.
2) 770 euro / 200 klientiem = 3.85 euro/mēn. (par 1 klientu).</t>
  </si>
  <si>
    <t>Pakalpojuma "Aprūpe mājās – drošības poga" vienas vienības izmaksu standarta likmes aprēķins*</t>
  </si>
  <si>
    <t>Mēnesī vidēji  21 darba diena, t.sk. 168 darba stundas.
Atlīdzība (darba samaksa + VSAOI (DD soc. nod.)): darba alga speciālistiem un apkalpojošajam personālam, kas nodrošina pakalpojuma sniegšanu, ieskaitot VSAOI, sociālās garantijas un atvaļinājumus.</t>
  </si>
  <si>
    <t xml:space="preserve">** Ēdināšanas, mācību materiālu un līdzekļu izdevumi netiek iekļauti vienas vienības likmes aprēķinā. Saskaņā ar Sociālo pakalpojumu un sociālās palīdzības likuma 1. panta 1. punktu aprūpe mājās ir pakalpojumi mājās pamatvajadzību apmierināšanai personām, kuras objektīvu apstākļu dēļ nevar sev (piemēram,  palīdzību personīgās higiēnas nodrošināšanā, palīdzību apģērbties un noģērbties, gultas veļas nomaiņu, palīdzību iekļūt gultā un izkļūt no tās, pozicionēšanu un pārvietošanos, ēdiena gatavošanu un palīdzību paēst, pārtikas produktu, medikamentu un citu sīkpreču piegādi, palīdzību mājvietas uzkopšanā, ārstniecības personas izsaukšanu, atbalstu medikamentu lietošanā, palīdzību sadarbībā ar dažādām institūcijām, kurināmā piegādi telpās, krāsns kurināšanu u.c.), bet  nesedz izdevumus un  nenodrošina pakalpojumus, kas veidojas klientam viņa personīgo vajadzību apmierināšanai - ēdiens, apģērbs, izglītība. Minētos pakalpojumus vai atbalstu to saņemšanā aprūpes mājās klients, tāpat kā jebkurš cits Latvijas iedzīvotājs un izmanto citus resursus - izglītības sistēmas pakalpojumus, cita veida sociālos pakalpojumus un sociālo palīdzību, atbilstoši ārējiem normatīvajiem aktiem un pašvaldības saistošajos noteikumos noteiktajai kārtībai.  </t>
  </si>
  <si>
    <t>Ņemot vērā, ka reģistrā ir reģistrēti tikai daži aprūpes mājās pakalpojumu sniedzēji, kuriem ir reģistrēta klientu grupa - personas ar garīga rakstura traucējumiem un pilngadīgas personas vai visu vecumu personas, kas nav pietiekami analīzei par pakalpojuma vidējām izmaksām, aprūpes mājās pakalpojums izmaksas tika iegūtas no tām pašvaldībām/ pakalpojumu sniedzējiem, kuras sniedza informāciju par dienas aprūpes centru, grupu māju vai specilalizēto darbnīcu pakalpojumu izmaksām (kopā 9 pakalpojumu sniedzējiem), t.sk.:
1) Rīgas plānošanas reģions – biedrība "Latvijas Samariešu apvienība" Rīga, biedrība "Latvijas Sarkanais Krusts" Rīga, SIA  "Mājas aprūpe" Rīga, biedrība "Svētā Jāņa palīdzība" Rīga, SIA "Pirmais patronāžas serviss" Rīga; pašvaldības aģentūras "Jūrmalas sociālās aprūpes centrs" Jūrmala;
2) Zemgales plānošanas reģions – pašvaldību iestādes "Jelgavas sociālo lietu pārvalde" Jelgavā, Aknīstes novada Sociālais dienests Aknīstes novadā;   
3) Kurzemes plānošanas reģions – Liepājas pilsētas domes Sociālā dienests Liepājā; 
4) Vidzemes plānošanas reģions – Valmieras pilsētas Sociālais dienests Valmiera.</t>
  </si>
  <si>
    <t>Mēnesī vidēji  21 darba diena, t.sk. 168 darba stundas. 
Atlīdzība (darba alga + VSAOI (DD soc. nod.)): darba alga speciālistiem un apkalpojošajam personālam, kas nodrošina pakalpojuma sniegšanu, ieskaitot VSAOI, sociālās garantijas un atvaļinājumus.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</si>
</sst>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4" formatCode="0.0"/>
    <numFmt numFmtId="175" formatCode="0.0000"/>
    <numFmt numFmtId="176" formatCode="0.000"/>
    <numFmt numFmtId="184" formatCode="0.0%"/>
  </numFmts>
  <fonts count="18" x14ac:knownFonts="1">
    <font>
      <sz val="10"/>
      <name val="Arial"/>
      <charset val="186"/>
    </font>
    <font>
      <sz val="10"/>
      <name val="Arial"/>
      <charset val="186"/>
    </font>
    <font>
      <sz val="10"/>
      <name val="Arial"/>
      <family val="2"/>
      <charset val="186"/>
    </font>
    <font>
      <sz val="11"/>
      <name val="Times New Roman"/>
      <family val="1"/>
      <charset val="186"/>
    </font>
    <font>
      <b/>
      <sz val="11"/>
      <name val="Times New Roman"/>
      <family val="1"/>
      <charset val="186"/>
    </font>
    <font>
      <strike/>
      <sz val="11"/>
      <color indexed="30"/>
      <name val="Times New Roman"/>
      <family val="1"/>
      <charset val="186"/>
    </font>
    <font>
      <strike/>
      <sz val="11"/>
      <name val="Times New Roman"/>
      <family val="1"/>
      <charset val="186"/>
    </font>
    <font>
      <b/>
      <i/>
      <sz val="11"/>
      <name val="Times New Roman"/>
      <family val="1"/>
      <charset val="186"/>
    </font>
    <font>
      <b/>
      <sz val="11"/>
      <color indexed="8"/>
      <name val="Times New Roman"/>
      <family val="1"/>
      <charset val="186"/>
    </font>
    <font>
      <sz val="11"/>
      <name val="Times New Roman"/>
      <family val="1"/>
      <charset val="186"/>
    </font>
    <font>
      <b/>
      <sz val="11"/>
      <name val="Times New Roman"/>
      <family val="1"/>
      <charset val="186"/>
    </font>
    <font>
      <i/>
      <sz val="11"/>
      <name val="Times New Roman"/>
      <family val="1"/>
      <charset val="186"/>
    </font>
    <font>
      <sz val="11"/>
      <name val="Times New Roman"/>
      <family val="1"/>
      <charset val="186"/>
    </font>
    <font>
      <sz val="11"/>
      <color theme="1"/>
      <name val="Times New Roman"/>
      <family val="1"/>
      <charset val="186"/>
    </font>
    <font>
      <b/>
      <sz val="11"/>
      <color theme="1"/>
      <name val="Times New Roman"/>
      <family val="1"/>
      <charset val="186"/>
    </font>
    <font>
      <sz val="11"/>
      <color rgb="FF000000"/>
      <name val="Times New Roman"/>
      <family val="1"/>
      <charset val="186"/>
    </font>
    <font>
      <sz val="11"/>
      <color rgb="FFFF0000"/>
      <name val="Times New Roman"/>
      <family val="1"/>
      <charset val="186"/>
    </font>
    <font>
      <i/>
      <sz val="11"/>
      <color theme="1"/>
      <name val="Times New Roman"/>
      <family val="1"/>
      <charset val="186"/>
    </font>
  </fonts>
  <fills count="6">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0" tint="-4.9989318521683403E-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right/>
      <top/>
      <bottom style="thin">
        <color indexed="64"/>
      </bottom>
      <diagonal/>
    </border>
  </borders>
  <cellStyleXfs count="3">
    <xf numFmtId="0" fontId="0" fillId="0" borderId="0"/>
    <xf numFmtId="0" fontId="2" fillId="0" borderId="0"/>
    <xf numFmtId="9" fontId="1" fillId="0" borderId="0" applyFont="0" applyFill="0" applyBorder="0" applyAlignment="0" applyProtection="0"/>
  </cellStyleXfs>
  <cellXfs count="229">
    <xf numFmtId="0" fontId="0" fillId="0" borderId="0" xfId="0"/>
    <xf numFmtId="0" fontId="3" fillId="0" borderId="1" xfId="0" applyFont="1" applyBorder="1" applyAlignment="1">
      <alignment horizontal="left" vertical="center" wrapText="1"/>
    </xf>
    <xf numFmtId="0" fontId="3" fillId="2" borderId="1" xfId="0" applyFont="1" applyFill="1" applyBorder="1" applyAlignment="1">
      <alignment vertical="center" wrapText="1"/>
    </xf>
    <xf numFmtId="0" fontId="3" fillId="0" borderId="1" xfId="0" applyFont="1" applyBorder="1"/>
    <xf numFmtId="0" fontId="3" fillId="0" borderId="0" xfId="0" applyFont="1"/>
    <xf numFmtId="0" fontId="3" fillId="0" borderId="0" xfId="0" applyFont="1" applyAlignment="1"/>
    <xf numFmtId="2" fontId="3" fillId="0" borderId="0" xfId="0" applyNumberFormat="1" applyFont="1"/>
    <xf numFmtId="4" fontId="3" fillId="0" borderId="0" xfId="0" applyNumberFormat="1" applyFont="1"/>
    <xf numFmtId="0" fontId="3" fillId="0" borderId="0" xfId="0" applyFont="1" applyAlignment="1">
      <alignment horizontal="center" vertical="center"/>
    </xf>
    <xf numFmtId="0" fontId="13" fillId="0" borderId="1" xfId="0" applyFont="1" applyBorder="1" applyAlignment="1">
      <alignment vertical="center" wrapText="1"/>
    </xf>
    <xf numFmtId="0" fontId="3" fillId="0" borderId="0" xfId="0" applyFont="1" applyAlignment="1">
      <alignment vertical="center"/>
    </xf>
    <xf numFmtId="0" fontId="3" fillId="0" borderId="0" xfId="0" applyFont="1" applyFill="1"/>
    <xf numFmtId="0" fontId="13" fillId="0" borderId="0" xfId="0" applyFont="1"/>
    <xf numFmtId="0" fontId="13" fillId="0" borderId="1" xfId="0" applyFont="1" applyBorder="1" applyAlignment="1">
      <alignment horizontal="center" vertical="center" wrapText="1"/>
    </xf>
    <xf numFmtId="1" fontId="13" fillId="0" borderId="1" xfId="0" applyNumberFormat="1" applyFont="1" applyBorder="1" applyAlignment="1">
      <alignment horizontal="center" vertical="center"/>
    </xf>
    <xf numFmtId="2" fontId="13" fillId="0" borderId="1" xfId="0" applyNumberFormat="1" applyFont="1" applyBorder="1" applyAlignment="1">
      <alignment horizontal="center" vertical="center"/>
    </xf>
    <xf numFmtId="0" fontId="13" fillId="2" borderId="1" xfId="0" applyFont="1" applyFill="1" applyBorder="1" applyAlignment="1">
      <alignment vertical="center" wrapText="1"/>
    </xf>
    <xf numFmtId="0" fontId="13" fillId="2" borderId="1" xfId="0" applyFont="1" applyFill="1" applyBorder="1" applyAlignment="1">
      <alignment horizontal="center" vertical="center" wrapText="1"/>
    </xf>
    <xf numFmtId="0" fontId="13" fillId="0" borderId="1" xfId="0" applyFont="1" applyBorder="1" applyAlignment="1">
      <alignment horizontal="center" vertical="center"/>
    </xf>
    <xf numFmtId="2" fontId="13" fillId="2" borderId="1" xfId="0" applyNumberFormat="1" applyFont="1" applyFill="1" applyBorder="1" applyAlignment="1">
      <alignment horizontal="center" vertical="center"/>
    </xf>
    <xf numFmtId="0" fontId="13" fillId="2" borderId="1" xfId="0" applyFont="1" applyFill="1" applyBorder="1" applyAlignment="1">
      <alignment horizontal="left" vertical="center" wrapText="1"/>
    </xf>
    <xf numFmtId="0" fontId="13" fillId="0" borderId="1" xfId="0" applyFont="1" applyBorder="1" applyAlignment="1">
      <alignment horizontal="left" vertical="center" wrapText="1"/>
    </xf>
    <xf numFmtId="0" fontId="14" fillId="3" borderId="1" xfId="0" applyFont="1" applyFill="1" applyBorder="1" applyAlignment="1">
      <alignment horizontal="center" vertical="center" wrapText="1"/>
    </xf>
    <xf numFmtId="0" fontId="13" fillId="3" borderId="1" xfId="0" applyFont="1" applyFill="1" applyBorder="1" applyAlignment="1">
      <alignment horizontal="center" vertical="center"/>
    </xf>
    <xf numFmtId="4" fontId="14" fillId="3" borderId="1" xfId="0" applyNumberFormat="1" applyFont="1" applyFill="1" applyBorder="1" applyAlignment="1">
      <alignment horizontal="center" vertical="center"/>
    </xf>
    <xf numFmtId="2" fontId="3" fillId="0" borderId="1" xfId="0" applyNumberFormat="1" applyFont="1" applyFill="1" applyBorder="1" applyAlignment="1">
      <alignment horizontal="center" vertical="center"/>
    </xf>
    <xf numFmtId="0" fontId="15" fillId="0" borderId="1" xfId="0" applyFont="1" applyBorder="1"/>
    <xf numFmtId="0" fontId="3" fillId="0" borderId="1" xfId="0" applyFont="1" applyFill="1" applyBorder="1" applyAlignment="1">
      <alignment horizontal="left" vertical="center" wrapText="1"/>
    </xf>
    <xf numFmtId="0" fontId="13" fillId="0" borderId="1" xfId="0" applyFont="1" applyFill="1" applyBorder="1"/>
    <xf numFmtId="2" fontId="13" fillId="0" borderId="1" xfId="0" applyNumberFormat="1" applyFont="1" applyFill="1" applyBorder="1" applyAlignment="1">
      <alignment horizontal="center" vertical="center"/>
    </xf>
    <xf numFmtId="0" fontId="13" fillId="0" borderId="1" xfId="0" applyFont="1" applyFill="1" applyBorder="1" applyAlignment="1">
      <alignment vertical="center" wrapText="1"/>
    </xf>
    <xf numFmtId="0" fontId="3" fillId="0" borderId="1" xfId="0" applyFont="1" applyFill="1" applyBorder="1"/>
    <xf numFmtId="0" fontId="13" fillId="0" borderId="1" xfId="0" applyFont="1" applyFill="1" applyBorder="1" applyAlignment="1">
      <alignment horizontal="left" vertical="center" wrapText="1"/>
    </xf>
    <xf numFmtId="0" fontId="13" fillId="0" borderId="1" xfId="0" applyFont="1" applyBorder="1"/>
    <xf numFmtId="0" fontId="13" fillId="2" borderId="1" xfId="0" applyFont="1" applyFill="1" applyBorder="1"/>
    <xf numFmtId="0" fontId="3" fillId="3" borderId="1" xfId="0" applyFont="1" applyFill="1" applyBorder="1" applyAlignment="1">
      <alignment horizontal="center" vertical="center"/>
    </xf>
    <xf numFmtId="9" fontId="14" fillId="3" borderId="1" xfId="2" applyFont="1" applyFill="1" applyBorder="1" applyAlignment="1">
      <alignment horizontal="center" vertical="center"/>
    </xf>
    <xf numFmtId="184" fontId="13" fillId="0" borderId="1" xfId="0" applyNumberFormat="1" applyFont="1" applyBorder="1" applyAlignment="1">
      <alignment horizontal="center" vertical="center"/>
    </xf>
    <xf numFmtId="0" fontId="13"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3" fontId="3" fillId="2" borderId="1" xfId="0" applyNumberFormat="1" applyFont="1" applyFill="1" applyBorder="1" applyAlignment="1">
      <alignment horizontal="center"/>
    </xf>
    <xf numFmtId="0" fontId="3" fillId="0" borderId="1" xfId="0" applyFont="1" applyBorder="1" applyAlignment="1">
      <alignment horizontal="center"/>
    </xf>
    <xf numFmtId="4" fontId="3" fillId="0" borderId="1" xfId="0" applyNumberFormat="1" applyFont="1" applyBorder="1" applyAlignment="1">
      <alignment horizontal="center"/>
    </xf>
    <xf numFmtId="2" fontId="3" fillId="0" borderId="1" xfId="0" applyNumberFormat="1" applyFont="1" applyBorder="1" applyAlignment="1">
      <alignment horizontal="center"/>
    </xf>
    <xf numFmtId="3" fontId="4" fillId="2" borderId="1" xfId="0" applyNumberFormat="1" applyFont="1" applyFill="1" applyBorder="1" applyAlignment="1">
      <alignment horizontal="center"/>
    </xf>
    <xf numFmtId="1" fontId="4" fillId="2" borderId="1" xfId="0" applyNumberFormat="1" applyFont="1" applyFill="1" applyBorder="1" applyAlignment="1">
      <alignment horizontal="center"/>
    </xf>
    <xf numFmtId="4" fontId="4" fillId="2" borderId="1" xfId="0" applyNumberFormat="1" applyFont="1" applyFill="1" applyBorder="1" applyAlignment="1">
      <alignment horizontal="center"/>
    </xf>
    <xf numFmtId="0" fontId="3" fillId="0" borderId="0" xfId="0" applyFont="1" applyAlignment="1">
      <alignment vertical="top"/>
    </xf>
    <xf numFmtId="0" fontId="3" fillId="0" borderId="0" xfId="0" applyFont="1" applyFill="1" applyBorder="1" applyAlignment="1">
      <alignment vertical="top"/>
    </xf>
    <xf numFmtId="0" fontId="13" fillId="0" borderId="1" xfId="0" applyFont="1" applyBorder="1" applyAlignment="1">
      <alignment vertical="top"/>
    </xf>
    <xf numFmtId="4" fontId="3" fillId="0" borderId="1" xfId="0" applyNumberFormat="1" applyFont="1" applyBorder="1" applyAlignment="1">
      <alignment horizontal="center" vertical="center"/>
    </xf>
    <xf numFmtId="4" fontId="13" fillId="0" borderId="1" xfId="0" applyNumberFormat="1" applyFont="1" applyBorder="1" applyAlignment="1">
      <alignment horizontal="center" vertical="center"/>
    </xf>
    <xf numFmtId="4" fontId="13" fillId="0" borderId="2" xfId="0" applyNumberFormat="1" applyFont="1" applyBorder="1" applyAlignment="1">
      <alignment horizontal="center" vertical="center"/>
    </xf>
    <xf numFmtId="4" fontId="14" fillId="0" borderId="3" xfId="0" applyNumberFormat="1" applyFont="1" applyBorder="1" applyAlignment="1">
      <alignment horizontal="center" vertical="center"/>
    </xf>
    <xf numFmtId="4" fontId="13" fillId="0" borderId="4" xfId="0" applyNumberFormat="1" applyFont="1" applyBorder="1" applyAlignment="1">
      <alignment horizontal="center" vertical="center"/>
    </xf>
    <xf numFmtId="4" fontId="13" fillId="0" borderId="5" xfId="0" applyNumberFormat="1" applyFont="1" applyBorder="1" applyAlignment="1">
      <alignment horizontal="center" vertical="center"/>
    </xf>
    <xf numFmtId="4" fontId="13" fillId="0" borderId="6" xfId="0" applyNumberFormat="1" applyFont="1" applyBorder="1" applyAlignment="1">
      <alignment horizontal="center" vertical="center"/>
    </xf>
    <xf numFmtId="4" fontId="14" fillId="0" borderId="6" xfId="0" applyNumberFormat="1" applyFont="1" applyBorder="1" applyAlignment="1">
      <alignment horizontal="center" vertical="center"/>
    </xf>
    <xf numFmtId="4" fontId="4" fillId="0" borderId="3" xfId="0" applyNumberFormat="1" applyFont="1" applyBorder="1" applyAlignment="1">
      <alignment horizontal="center" vertical="center"/>
    </xf>
    <xf numFmtId="0" fontId="13" fillId="0" borderId="0" xfId="0" applyFont="1" applyFill="1" applyBorder="1" applyAlignment="1">
      <alignment vertical="top"/>
    </xf>
    <xf numFmtId="4" fontId="13" fillId="4" borderId="1" xfId="0" applyNumberFormat="1" applyFont="1" applyFill="1" applyBorder="1" applyAlignment="1">
      <alignment horizontal="center" vertical="center"/>
    </xf>
    <xf numFmtId="4" fontId="4" fillId="0" borderId="3" xfId="0" applyNumberFormat="1" applyFont="1" applyFill="1" applyBorder="1" applyAlignment="1">
      <alignment horizontal="center" vertical="center"/>
    </xf>
    <xf numFmtId="0" fontId="13" fillId="0" borderId="0" xfId="0" applyFont="1" applyFill="1" applyBorder="1" applyAlignment="1">
      <alignment horizontal="left" vertical="center" wrapText="1"/>
    </xf>
    <xf numFmtId="4" fontId="13" fillId="4" borderId="2" xfId="0" applyNumberFormat="1" applyFont="1" applyFill="1" applyBorder="1" applyAlignment="1">
      <alignment horizontal="center" vertical="center"/>
    </xf>
    <xf numFmtId="4" fontId="13" fillId="4" borderId="4" xfId="0" applyNumberFormat="1" applyFont="1" applyFill="1" applyBorder="1" applyAlignment="1">
      <alignment horizontal="center" vertical="center"/>
    </xf>
    <xf numFmtId="4" fontId="13" fillId="4" borderId="5" xfId="0" applyNumberFormat="1" applyFont="1" applyFill="1" applyBorder="1" applyAlignment="1">
      <alignment horizontal="center" vertical="center"/>
    </xf>
    <xf numFmtId="4" fontId="13" fillId="4" borderId="6" xfId="0" applyNumberFormat="1" applyFont="1" applyFill="1" applyBorder="1" applyAlignment="1">
      <alignment horizontal="center" vertical="center"/>
    </xf>
    <xf numFmtId="4" fontId="13" fillId="0" borderId="1" xfId="0" applyNumberFormat="1" applyFont="1" applyFill="1" applyBorder="1" applyAlignment="1">
      <alignment horizontal="center" vertical="center"/>
    </xf>
    <xf numFmtId="4" fontId="3" fillId="4" borderId="1" xfId="0" applyNumberFormat="1" applyFont="1" applyFill="1" applyBorder="1" applyAlignment="1">
      <alignment horizontal="center" vertical="center"/>
    </xf>
    <xf numFmtId="4" fontId="13" fillId="2" borderId="1" xfId="0" applyNumberFormat="1" applyFont="1" applyFill="1" applyBorder="1" applyAlignment="1">
      <alignment horizontal="center" vertical="center"/>
    </xf>
    <xf numFmtId="4" fontId="3" fillId="2" borderId="1" xfId="0" applyNumberFormat="1" applyFont="1" applyFill="1" applyBorder="1" applyAlignment="1">
      <alignment horizontal="center" vertical="center"/>
    </xf>
    <xf numFmtId="0" fontId="13" fillId="0" borderId="7" xfId="0" applyFont="1" applyBorder="1" applyAlignment="1">
      <alignment horizontal="center" vertical="center"/>
    </xf>
    <xf numFmtId="0" fontId="13" fillId="0" borderId="7" xfId="0" applyFont="1" applyBorder="1" applyAlignment="1">
      <alignment horizontal="left" vertical="center" wrapText="1"/>
    </xf>
    <xf numFmtId="4" fontId="13" fillId="4" borderId="7" xfId="0" applyNumberFormat="1" applyFont="1" applyFill="1" applyBorder="1" applyAlignment="1">
      <alignment horizontal="center" vertical="center"/>
    </xf>
    <xf numFmtId="4" fontId="13" fillId="0" borderId="7" xfId="0" applyNumberFormat="1" applyFont="1" applyBorder="1" applyAlignment="1">
      <alignment horizontal="center" vertical="center"/>
    </xf>
    <xf numFmtId="4" fontId="13" fillId="0" borderId="8" xfId="0" applyNumberFormat="1" applyFont="1" applyBorder="1" applyAlignment="1">
      <alignment horizontal="center" vertical="center"/>
    </xf>
    <xf numFmtId="4" fontId="14" fillId="0" borderId="9" xfId="0" applyNumberFormat="1" applyFont="1" applyBorder="1" applyAlignment="1">
      <alignment horizontal="center" vertical="center"/>
    </xf>
    <xf numFmtId="4" fontId="13" fillId="4" borderId="10" xfId="0" applyNumberFormat="1" applyFont="1" applyFill="1" applyBorder="1" applyAlignment="1">
      <alignment horizontal="center" vertical="center"/>
    </xf>
    <xf numFmtId="4" fontId="13" fillId="4" borderId="11" xfId="0" applyNumberFormat="1" applyFont="1" applyFill="1" applyBorder="1" applyAlignment="1">
      <alignment horizontal="center" vertical="center"/>
    </xf>
    <xf numFmtId="4" fontId="13" fillId="0" borderId="12" xfId="0" applyNumberFormat="1" applyFont="1" applyBorder="1" applyAlignment="1">
      <alignment horizontal="center" vertical="center"/>
    </xf>
    <xf numFmtId="4" fontId="14" fillId="0" borderId="13" xfId="0" applyNumberFormat="1" applyFont="1" applyBorder="1" applyAlignment="1">
      <alignment horizontal="center" vertical="center"/>
    </xf>
    <xf numFmtId="4" fontId="14" fillId="0" borderId="14" xfId="0" applyNumberFormat="1" applyFont="1" applyBorder="1" applyAlignment="1">
      <alignment horizontal="center" vertical="center"/>
    </xf>
    <xf numFmtId="4" fontId="14" fillId="0" borderId="13" xfId="0" applyNumberFormat="1" applyFont="1" applyFill="1" applyBorder="1" applyAlignment="1">
      <alignment horizontal="center" vertical="center"/>
    </xf>
    <xf numFmtId="0" fontId="3" fillId="0" borderId="0" xfId="0" applyFont="1" applyAlignment="1" applyProtection="1">
      <alignment vertical="top"/>
      <protection locked="0"/>
    </xf>
    <xf numFmtId="4" fontId="13" fillId="0" borderId="0" xfId="0" applyNumberFormat="1" applyFont="1"/>
    <xf numFmtId="0" fontId="13" fillId="0" borderId="1" xfId="0" applyFont="1" applyBorder="1" applyAlignment="1">
      <alignment horizontal="justify" vertical="center" wrapText="1"/>
    </xf>
    <xf numFmtId="0" fontId="14" fillId="3" borderId="15" xfId="0" applyFont="1" applyFill="1" applyBorder="1" applyAlignment="1">
      <alignment horizontal="center" vertical="center" wrapText="1"/>
    </xf>
    <xf numFmtId="4" fontId="14" fillId="3" borderId="15" xfId="0" applyNumberFormat="1" applyFont="1" applyFill="1" applyBorder="1" applyAlignment="1">
      <alignment horizontal="center" vertical="center"/>
    </xf>
    <xf numFmtId="9" fontId="14" fillId="3" borderId="15" xfId="2" applyFont="1" applyFill="1" applyBorder="1" applyAlignment="1">
      <alignment horizontal="center" vertical="center"/>
    </xf>
    <xf numFmtId="0" fontId="14" fillId="3" borderId="15" xfId="0" applyFont="1" applyFill="1" applyBorder="1" applyAlignment="1">
      <alignment horizontal="center" wrapText="1"/>
    </xf>
    <xf numFmtId="0" fontId="13" fillId="3" borderId="15" xfId="0" applyFont="1" applyFill="1" applyBorder="1" applyAlignment="1">
      <alignment wrapText="1"/>
    </xf>
    <xf numFmtId="0" fontId="13" fillId="0" borderId="1" xfId="0" applyFont="1" applyBorder="1" applyAlignment="1">
      <alignment horizontal="left" vertical="center" wrapText="1"/>
    </xf>
    <xf numFmtId="3" fontId="13" fillId="0" borderId="1" xfId="0" applyNumberFormat="1" applyFont="1" applyBorder="1" applyAlignment="1">
      <alignment horizontal="center" vertical="center"/>
    </xf>
    <xf numFmtId="4" fontId="13" fillId="0" borderId="1" xfId="0" applyNumberFormat="1" applyFont="1" applyBorder="1" applyAlignment="1">
      <alignment horizontal="center" vertical="center"/>
    </xf>
    <xf numFmtId="0" fontId="13" fillId="3"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9" fillId="0" borderId="0" xfId="0" applyFont="1"/>
    <xf numFmtId="0" fontId="10" fillId="3"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9" fillId="3" borderId="1" xfId="0" applyFont="1" applyFill="1" applyBorder="1" applyAlignment="1">
      <alignment vertical="center" wrapText="1"/>
    </xf>
    <xf numFmtId="0" fontId="16" fillId="3" borderId="1" xfId="0" applyFont="1" applyFill="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wrapText="1"/>
    </xf>
    <xf numFmtId="2" fontId="9" fillId="0" borderId="1" xfId="0" applyNumberFormat="1" applyFont="1" applyBorder="1" applyAlignment="1">
      <alignment horizontal="center" vertical="center" wrapText="1"/>
    </xf>
    <xf numFmtId="2" fontId="9" fillId="0" borderId="1" xfId="0" applyNumberFormat="1" applyFont="1" applyBorder="1" applyAlignment="1">
      <alignment horizontal="center" vertical="center"/>
    </xf>
    <xf numFmtId="0" fontId="9" fillId="0" borderId="1" xfId="0" applyFont="1" applyBorder="1" applyAlignment="1">
      <alignment vertical="center" wrapText="1"/>
    </xf>
    <xf numFmtId="0" fontId="9" fillId="0" borderId="1" xfId="0" applyFont="1" applyBorder="1"/>
    <xf numFmtId="2" fontId="9" fillId="0" borderId="0" xfId="0" applyNumberFormat="1" applyFont="1"/>
    <xf numFmtId="0" fontId="9" fillId="0" borderId="1" xfId="0" applyFont="1" applyBorder="1" applyAlignment="1">
      <alignment horizontal="center" vertical="center" wrapText="1"/>
    </xf>
    <xf numFmtId="0" fontId="10" fillId="3" borderId="1" xfId="0" applyFont="1" applyFill="1" applyBorder="1" applyAlignment="1">
      <alignment vertical="center" wrapText="1"/>
    </xf>
    <xf numFmtId="0" fontId="9" fillId="3" borderId="1" xfId="0" applyFont="1" applyFill="1" applyBorder="1" applyAlignment="1">
      <alignment vertical="center"/>
    </xf>
    <xf numFmtId="0" fontId="9" fillId="0" borderId="1" xfId="1" applyFont="1" applyBorder="1" applyAlignment="1">
      <alignment horizontal="center" vertical="center" wrapText="1"/>
    </xf>
    <xf numFmtId="0" fontId="9" fillId="0" borderId="1" xfId="1" applyFont="1" applyBorder="1" applyAlignment="1">
      <alignment horizontal="justify" vertical="center" wrapText="1"/>
    </xf>
    <xf numFmtId="0" fontId="9" fillId="0" borderId="1" xfId="0" applyFont="1" applyBorder="1" applyAlignment="1">
      <alignment wrapText="1"/>
    </xf>
    <xf numFmtId="0" fontId="13" fillId="0" borderId="1" xfId="1" applyFont="1" applyBorder="1" applyAlignment="1">
      <alignment horizontal="center" vertical="center" wrapText="1"/>
    </xf>
    <xf numFmtId="2" fontId="13" fillId="0" borderId="1" xfId="0" applyNumberFormat="1" applyFont="1" applyBorder="1" applyAlignment="1">
      <alignment horizontal="center" vertical="center"/>
    </xf>
    <xf numFmtId="0" fontId="13" fillId="0" borderId="1" xfId="0" applyFont="1" applyBorder="1" applyAlignment="1">
      <alignment vertical="center" wrapText="1"/>
    </xf>
    <xf numFmtId="0" fontId="13" fillId="2" borderId="1" xfId="0" applyFont="1" applyFill="1" applyBorder="1" applyAlignment="1">
      <alignment vertical="center" wrapText="1"/>
    </xf>
    <xf numFmtId="0" fontId="9" fillId="2" borderId="1" xfId="0" applyFont="1" applyFill="1" applyBorder="1" applyAlignment="1">
      <alignment vertical="center" wrapText="1"/>
    </xf>
    <xf numFmtId="2" fontId="13" fillId="0" borderId="1" xfId="1" applyNumberFormat="1" applyFont="1" applyBorder="1" applyAlignment="1">
      <alignment horizontal="center" vertical="center" wrapText="1"/>
    </xf>
    <xf numFmtId="10" fontId="9" fillId="0" borderId="0" xfId="0" applyNumberFormat="1" applyFont="1"/>
    <xf numFmtId="4" fontId="13" fillId="0" borderId="1" xfId="1" applyNumberFormat="1" applyFont="1" applyBorder="1" applyAlignment="1">
      <alignment horizontal="center" vertical="center" wrapText="1"/>
    </xf>
    <xf numFmtId="0" fontId="9" fillId="0" borderId="1" xfId="0" applyFont="1" applyBorder="1" applyAlignment="1">
      <alignment vertical="center"/>
    </xf>
    <xf numFmtId="0" fontId="14" fillId="3" borderId="1" xfId="1" applyFont="1" applyFill="1" applyBorder="1" applyAlignment="1">
      <alignment horizontal="center" vertical="center" wrapText="1"/>
    </xf>
    <xf numFmtId="0" fontId="13" fillId="3" borderId="1" xfId="0" applyFont="1" applyFill="1" applyBorder="1" applyAlignment="1">
      <alignment horizontal="center" vertical="center"/>
    </xf>
    <xf numFmtId="0" fontId="13" fillId="3" borderId="1" xfId="0" applyFont="1" applyFill="1" applyBorder="1" applyAlignment="1">
      <alignment horizontal="center" vertical="center" wrapText="1"/>
    </xf>
    <xf numFmtId="0" fontId="13" fillId="3" borderId="1" xfId="0" applyFont="1" applyFill="1" applyBorder="1" applyAlignment="1">
      <alignment vertical="center"/>
    </xf>
    <xf numFmtId="175" fontId="9" fillId="0" borderId="0" xfId="0" applyNumberFormat="1" applyFont="1"/>
    <xf numFmtId="0" fontId="9" fillId="0" borderId="1" xfId="1" applyFont="1" applyBorder="1" applyAlignment="1">
      <alignment horizontal="left" vertical="center" wrapText="1"/>
    </xf>
    <xf numFmtId="4" fontId="9" fillId="0" borderId="1" xfId="1" applyNumberFormat="1" applyFont="1" applyBorder="1" applyAlignment="1">
      <alignment horizontal="center" vertical="center" wrapText="1"/>
    </xf>
    <xf numFmtId="2" fontId="9" fillId="0" borderId="1" xfId="1" applyNumberFormat="1" applyFont="1" applyBorder="1" applyAlignment="1">
      <alignment horizontal="center" vertical="center" wrapText="1"/>
    </xf>
    <xf numFmtId="0" fontId="10" fillId="0" borderId="1" xfId="1" applyFont="1" applyBorder="1" applyAlignment="1">
      <alignment horizontal="left" vertical="top" wrapText="1"/>
    </xf>
    <xf numFmtId="2" fontId="10" fillId="0" borderId="1" xfId="0" applyNumberFormat="1" applyFont="1" applyBorder="1" applyAlignment="1">
      <alignment horizontal="center" vertical="center"/>
    </xf>
    <xf numFmtId="0" fontId="14" fillId="3" borderId="1" xfId="0" applyFont="1" applyFill="1" applyBorder="1" applyAlignment="1">
      <alignment horizontal="left" wrapText="1"/>
    </xf>
    <xf numFmtId="2" fontId="14" fillId="3" borderId="1" xfId="0" applyNumberFormat="1" applyFont="1" applyFill="1" applyBorder="1" applyAlignment="1">
      <alignment horizontal="center" vertical="center"/>
    </xf>
    <xf numFmtId="0" fontId="9" fillId="0" borderId="0" xfId="0" applyFont="1" applyAlignment="1">
      <alignment wrapText="1"/>
    </xf>
    <xf numFmtId="174" fontId="9" fillId="0" borderId="0" xfId="0" applyNumberFormat="1" applyFont="1"/>
    <xf numFmtId="0" fontId="14" fillId="3" borderId="1" xfId="0" applyFont="1" applyFill="1" applyBorder="1" applyAlignment="1">
      <alignment horizontal="right" vertical="center" wrapText="1"/>
    </xf>
    <xf numFmtId="0" fontId="3" fillId="0" borderId="8" xfId="0" applyFont="1" applyFill="1" applyBorder="1" applyAlignment="1">
      <alignment horizontal="center" vertical="center"/>
    </xf>
    <xf numFmtId="0" fontId="3" fillId="0" borderId="16" xfId="0" applyFont="1" applyFill="1" applyBorder="1" applyAlignment="1">
      <alignment horizontal="center" vertical="center"/>
    </xf>
    <xf numFmtId="1" fontId="14" fillId="3" borderId="15"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0" fontId="7" fillId="5" borderId="1" xfId="0" applyFont="1" applyFill="1" applyBorder="1" applyAlignment="1">
      <alignment horizontal="center" vertical="center"/>
    </xf>
    <xf numFmtId="0" fontId="4" fillId="5" borderId="1" xfId="0" applyFont="1" applyFill="1" applyBorder="1" applyAlignment="1">
      <alignment horizontal="center" vertical="center"/>
    </xf>
    <xf numFmtId="0" fontId="14" fillId="0" borderId="0" xfId="0" applyFont="1" applyFill="1" applyBorder="1" applyAlignment="1">
      <alignment horizontal="left" vertical="center" wrapText="1"/>
    </xf>
    <xf numFmtId="3" fontId="4" fillId="0" borderId="0" xfId="0" applyNumberFormat="1" applyFont="1" applyFill="1" applyBorder="1" applyAlignment="1">
      <alignment horizontal="center"/>
    </xf>
    <xf numFmtId="1" fontId="4" fillId="0" borderId="0" xfId="0" applyNumberFormat="1" applyFont="1" applyFill="1" applyBorder="1" applyAlignment="1">
      <alignment horizontal="center"/>
    </xf>
    <xf numFmtId="4" fontId="4" fillId="0" borderId="0" xfId="0" applyNumberFormat="1" applyFont="1" applyFill="1" applyBorder="1" applyAlignment="1">
      <alignment horizontal="center"/>
    </xf>
    <xf numFmtId="1" fontId="3" fillId="5" borderId="1" xfId="0" applyNumberFormat="1" applyFont="1" applyFill="1" applyBorder="1" applyAlignment="1">
      <alignment horizontal="center" vertical="center"/>
    </xf>
    <xf numFmtId="1" fontId="3" fillId="5" borderId="1" xfId="0" applyNumberFormat="1" applyFont="1" applyFill="1" applyBorder="1" applyAlignment="1">
      <alignment horizontal="center" vertical="center" wrapText="1"/>
    </xf>
    <xf numFmtId="1" fontId="13" fillId="5" borderId="1" xfId="0" applyNumberFormat="1" applyFont="1" applyFill="1" applyBorder="1" applyAlignment="1">
      <alignment horizontal="center" vertical="center" wrapText="1"/>
    </xf>
    <xf numFmtId="0" fontId="13" fillId="5" borderId="7" xfId="0" applyFont="1" applyFill="1" applyBorder="1" applyAlignment="1">
      <alignment horizontal="center" vertical="center" wrapText="1"/>
    </xf>
    <xf numFmtId="0" fontId="13" fillId="5" borderId="8" xfId="0" applyFont="1" applyFill="1" applyBorder="1" applyAlignment="1">
      <alignment horizontal="center" vertical="center" wrapText="1"/>
    </xf>
    <xf numFmtId="0" fontId="13" fillId="5" borderId="17" xfId="0" applyFont="1" applyFill="1" applyBorder="1" applyAlignment="1">
      <alignment horizontal="center" vertical="center" wrapText="1"/>
    </xf>
    <xf numFmtId="0" fontId="13" fillId="5" borderId="10" xfId="0" applyFont="1" applyFill="1" applyBorder="1" applyAlignment="1">
      <alignment horizontal="center" vertical="center" wrapText="1"/>
    </xf>
    <xf numFmtId="0" fontId="3" fillId="0" borderId="0" xfId="0" applyFont="1" applyFill="1" applyAlignment="1">
      <alignment vertical="top"/>
    </xf>
    <xf numFmtId="0" fontId="3" fillId="0" borderId="0" xfId="0" applyFont="1" applyFill="1" applyAlignment="1" applyProtection="1">
      <alignment vertical="top"/>
      <protection locked="0"/>
    </xf>
    <xf numFmtId="4" fontId="14" fillId="0" borderId="18" xfId="0" applyNumberFormat="1" applyFont="1" applyFill="1" applyBorder="1" applyAlignment="1">
      <alignment horizontal="center" vertical="center"/>
    </xf>
    <xf numFmtId="4" fontId="14" fillId="0" borderId="19" xfId="0" applyNumberFormat="1" applyFont="1" applyFill="1" applyBorder="1" applyAlignment="1">
      <alignment horizontal="center" vertical="center"/>
    </xf>
    <xf numFmtId="4" fontId="14" fillId="0" borderId="14" xfId="0" applyNumberFormat="1" applyFont="1" applyFill="1" applyBorder="1" applyAlignment="1">
      <alignment horizontal="center" vertical="center"/>
    </xf>
    <xf numFmtId="4" fontId="14" fillId="0" borderId="20" xfId="0" applyNumberFormat="1" applyFont="1" applyFill="1" applyBorder="1" applyAlignment="1">
      <alignment horizontal="center" vertical="center"/>
    </xf>
    <xf numFmtId="4" fontId="14" fillId="0" borderId="21" xfId="0" applyNumberFormat="1" applyFont="1" applyFill="1" applyBorder="1" applyAlignment="1">
      <alignment horizontal="center" vertical="center"/>
    </xf>
    <xf numFmtId="4" fontId="4" fillId="0" borderId="18" xfId="0" applyNumberFormat="1" applyFont="1" applyFill="1" applyBorder="1" applyAlignment="1">
      <alignment horizontal="center" vertical="center"/>
    </xf>
    <xf numFmtId="0" fontId="13" fillId="5" borderId="1" xfId="0" applyFont="1" applyFill="1" applyBorder="1" applyAlignment="1">
      <alignment horizontal="center" vertical="center" wrapText="1"/>
    </xf>
    <xf numFmtId="0" fontId="13" fillId="5" borderId="1" xfId="0" applyFont="1" applyFill="1" applyBorder="1" applyAlignment="1">
      <alignment horizontal="center" wrapText="1"/>
    </xf>
    <xf numFmtId="0" fontId="13" fillId="5" borderId="1" xfId="0" applyFont="1" applyFill="1" applyBorder="1" applyAlignment="1">
      <alignment horizontal="center" vertical="center"/>
    </xf>
    <xf numFmtId="0" fontId="10" fillId="5" borderId="1" xfId="0" applyFont="1" applyFill="1" applyBorder="1" applyAlignment="1">
      <alignment horizontal="center" vertical="center" wrapText="1"/>
    </xf>
    <xf numFmtId="0" fontId="13" fillId="0" borderId="0" xfId="0" applyFont="1" applyFill="1"/>
    <xf numFmtId="0" fontId="12" fillId="0" borderId="0" xfId="0" applyFont="1"/>
    <xf numFmtId="0" fontId="13" fillId="0" borderId="1" xfId="0" applyFont="1" applyBorder="1" applyAlignment="1">
      <alignment vertical="center" wrapText="1"/>
    </xf>
    <xf numFmtId="0" fontId="13" fillId="0" borderId="1" xfId="0" applyFont="1" applyBorder="1" applyAlignment="1">
      <alignment horizontal="left" vertical="center" wrapText="1"/>
    </xf>
    <xf numFmtId="0" fontId="13" fillId="0" borderId="22" xfId="0" applyFont="1" applyBorder="1" applyAlignment="1">
      <alignment horizontal="center" vertical="center"/>
    </xf>
    <xf numFmtId="0" fontId="14" fillId="0" borderId="13" xfId="0" applyFont="1" applyBorder="1" applyAlignment="1">
      <alignment horizontal="left" vertical="top"/>
    </xf>
    <xf numFmtId="176" fontId="9" fillId="0" borderId="0" xfId="0" applyNumberFormat="1" applyFont="1"/>
    <xf numFmtId="0" fontId="3" fillId="0" borderId="1" xfId="0" applyFont="1" applyBorder="1" applyAlignment="1">
      <alignment vertical="center" wrapText="1"/>
    </xf>
    <xf numFmtId="0" fontId="3" fillId="2" borderId="1" xfId="0" applyFont="1" applyFill="1" applyBorder="1" applyAlignment="1">
      <alignment horizontal="left" vertical="center" wrapText="1"/>
    </xf>
    <xf numFmtId="0" fontId="4" fillId="0" borderId="1" xfId="0" applyFont="1" applyBorder="1" applyAlignment="1">
      <alignment horizontal="left" wrapText="1"/>
    </xf>
    <xf numFmtId="0" fontId="9" fillId="0" borderId="8" xfId="0" applyFont="1" applyFill="1" applyBorder="1" applyAlignment="1">
      <alignment wrapText="1"/>
    </xf>
    <xf numFmtId="0" fontId="9" fillId="0" borderId="16" xfId="0" applyFont="1" applyFill="1" applyBorder="1"/>
    <xf numFmtId="0" fontId="9" fillId="0" borderId="23" xfId="0" applyFont="1" applyFill="1" applyBorder="1" applyAlignment="1">
      <alignment wrapText="1"/>
    </xf>
    <xf numFmtId="0" fontId="9" fillId="0" borderId="0" xfId="0" applyFont="1" applyFill="1" applyBorder="1"/>
    <xf numFmtId="0" fontId="13" fillId="0" borderId="23" xfId="0" applyFont="1" applyFill="1" applyBorder="1" applyAlignment="1">
      <alignment wrapText="1"/>
    </xf>
    <xf numFmtId="0" fontId="13" fillId="0" borderId="0" xfId="0" applyFont="1" applyFill="1" applyBorder="1"/>
    <xf numFmtId="0" fontId="13" fillId="3" borderId="15" xfId="0" applyFont="1" applyFill="1" applyBorder="1" applyAlignment="1">
      <alignment horizontal="center" vertical="center" wrapText="1"/>
    </xf>
    <xf numFmtId="0" fontId="14" fillId="0" borderId="0" xfId="0" applyFont="1" applyBorder="1" applyAlignment="1">
      <alignment horizontal="center" vertical="center"/>
    </xf>
    <xf numFmtId="0" fontId="17" fillId="0" borderId="0" xfId="0" applyFont="1" applyAlignment="1">
      <alignment horizontal="right"/>
    </xf>
    <xf numFmtId="0" fontId="11" fillId="0" borderId="0" xfId="0" applyFont="1" applyAlignment="1">
      <alignment horizontal="right"/>
    </xf>
    <xf numFmtId="0" fontId="3" fillId="5" borderId="24" xfId="0" applyFont="1" applyFill="1" applyBorder="1" applyAlignment="1">
      <alignment horizontal="center" vertical="center"/>
    </xf>
    <xf numFmtId="0" fontId="4" fillId="0" borderId="0" xfId="0" applyFont="1" applyBorder="1" applyAlignment="1">
      <alignment horizontal="center" vertical="center" wrapText="1"/>
    </xf>
    <xf numFmtId="0" fontId="4" fillId="5" borderId="1" xfId="0" applyFont="1" applyFill="1" applyBorder="1" applyAlignment="1">
      <alignment horizontal="center" vertical="center"/>
    </xf>
    <xf numFmtId="0" fontId="13" fillId="0" borderId="1" xfId="0" applyFont="1" applyBorder="1" applyAlignment="1">
      <alignment horizontal="left" vertical="center" wrapText="1"/>
    </xf>
    <xf numFmtId="0" fontId="4" fillId="5" borderId="1" xfId="0" applyFont="1" applyFill="1" applyBorder="1" applyAlignment="1">
      <alignment horizontal="center" vertical="center" wrapText="1"/>
    </xf>
    <xf numFmtId="0" fontId="13"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4" fillId="0" borderId="0" xfId="0" applyFont="1" applyAlignment="1">
      <alignment horizontal="center" vertical="center" wrapText="1"/>
    </xf>
    <xf numFmtId="0" fontId="11" fillId="0" borderId="0" xfId="0" applyFont="1" applyAlignment="1">
      <alignment horizontal="right" vertical="center"/>
    </xf>
    <xf numFmtId="0" fontId="13" fillId="3" borderId="7" xfId="0" applyFont="1" applyFill="1" applyBorder="1" applyAlignment="1">
      <alignment horizontal="center" vertical="center"/>
    </xf>
    <xf numFmtId="0" fontId="13" fillId="3" borderId="15" xfId="0" applyFont="1" applyFill="1" applyBorder="1" applyAlignment="1">
      <alignment horizontal="center" vertical="center"/>
    </xf>
    <xf numFmtId="0" fontId="13" fillId="3" borderId="7"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0" borderId="0" xfId="0" applyFont="1" applyFill="1" applyAlignment="1">
      <alignment horizontal="left" vertical="center" wrapText="1"/>
    </xf>
    <xf numFmtId="0" fontId="13" fillId="0" borderId="0" xfId="0" applyFont="1" applyFill="1" applyAlignment="1">
      <alignment horizontal="left" vertical="top" wrapText="1"/>
    </xf>
    <xf numFmtId="0" fontId="13" fillId="3" borderId="2" xfId="0" applyFont="1" applyFill="1" applyBorder="1" applyAlignment="1">
      <alignment horizontal="center" vertical="center"/>
    </xf>
    <xf numFmtId="0" fontId="13" fillId="3" borderId="25" xfId="0" applyFont="1" applyFill="1" applyBorder="1" applyAlignment="1">
      <alignment horizontal="center" vertical="center"/>
    </xf>
    <xf numFmtId="0" fontId="13" fillId="3" borderId="16" xfId="0" applyFont="1" applyFill="1" applyBorder="1" applyAlignment="1">
      <alignment horizontal="center" vertical="center"/>
    </xf>
    <xf numFmtId="0" fontId="13" fillId="3" borderId="1" xfId="0" applyFont="1" applyFill="1" applyBorder="1" applyAlignment="1">
      <alignment horizontal="center" vertical="center"/>
    </xf>
    <xf numFmtId="0" fontId="13" fillId="3" borderId="8" xfId="0" applyFont="1" applyFill="1" applyBorder="1" applyAlignment="1">
      <alignment horizontal="center" vertical="center"/>
    </xf>
    <xf numFmtId="0" fontId="14" fillId="3" borderId="17"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3" fillId="0" borderId="25" xfId="0" applyFont="1" applyBorder="1" applyAlignment="1">
      <alignment horizontal="center" vertical="center"/>
    </xf>
    <xf numFmtId="0" fontId="3" fillId="0" borderId="12" xfId="0" applyFont="1" applyBorder="1" applyAlignment="1">
      <alignment horizontal="center" vertical="center"/>
    </xf>
    <xf numFmtId="0" fontId="13" fillId="0" borderId="0" xfId="0" applyFont="1" applyAlignment="1">
      <alignment horizontal="left" vertical="center"/>
    </xf>
    <xf numFmtId="4" fontId="13" fillId="0" borderId="7" xfId="0" applyNumberFormat="1" applyFont="1" applyBorder="1" applyAlignment="1">
      <alignment horizontal="center" vertical="center"/>
    </xf>
    <xf numFmtId="4" fontId="13" fillId="0" borderId="15" xfId="0" applyNumberFormat="1" applyFont="1" applyBorder="1" applyAlignment="1">
      <alignment horizontal="center" vertical="center"/>
    </xf>
    <xf numFmtId="3" fontId="13" fillId="0" borderId="7" xfId="0" applyNumberFormat="1" applyFont="1" applyBorder="1" applyAlignment="1">
      <alignment horizontal="center" vertical="center"/>
    </xf>
    <xf numFmtId="3" fontId="13" fillId="0" borderId="15" xfId="0" applyNumberFormat="1" applyFont="1" applyBorder="1" applyAlignment="1">
      <alignment horizontal="center" vertical="center"/>
    </xf>
    <xf numFmtId="0" fontId="13" fillId="0" borderId="0" xfId="0" applyFont="1" applyAlignment="1">
      <alignment horizontal="left" vertical="center" wrapText="1"/>
    </xf>
    <xf numFmtId="3" fontId="13" fillId="0" borderId="1" xfId="0" applyNumberFormat="1" applyFont="1" applyBorder="1" applyAlignment="1">
      <alignment horizontal="center" vertical="center"/>
    </xf>
    <xf numFmtId="0" fontId="14" fillId="0" borderId="26" xfId="0" applyFont="1" applyBorder="1" applyAlignment="1">
      <alignment horizontal="center" vertical="center" wrapText="1"/>
    </xf>
    <xf numFmtId="2" fontId="14" fillId="0" borderId="1" xfId="0" applyNumberFormat="1" applyFont="1" applyBorder="1" applyAlignment="1">
      <alignment horizontal="center" vertical="center"/>
    </xf>
    <xf numFmtId="0" fontId="14" fillId="0" borderId="0" xfId="0" applyFont="1" applyAlignment="1">
      <alignment horizontal="center" vertical="center" wrapText="1"/>
    </xf>
    <xf numFmtId="0" fontId="11" fillId="0" borderId="0" xfId="0" applyFont="1" applyAlignment="1" applyProtection="1">
      <alignment horizontal="right"/>
      <protection locked="0"/>
    </xf>
    <xf numFmtId="0" fontId="10" fillId="5" borderId="1" xfId="0" applyFont="1" applyFill="1" applyBorder="1" applyAlignment="1">
      <alignment horizontal="center" vertical="center"/>
    </xf>
    <xf numFmtId="0" fontId="10" fillId="5" borderId="1" xfId="0" applyFont="1" applyFill="1" applyBorder="1" applyAlignment="1">
      <alignment horizontal="center" vertical="center" wrapText="1"/>
    </xf>
    <xf numFmtId="0" fontId="10"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4" fillId="3" borderId="1" xfId="1" applyFont="1" applyFill="1" applyBorder="1" applyAlignment="1">
      <alignment horizontal="center" vertical="center" wrapText="1"/>
    </xf>
    <xf numFmtId="0" fontId="9" fillId="0" borderId="0" xfId="0" applyFont="1" applyAlignment="1">
      <alignment horizontal="left" vertical="center" wrapText="1"/>
    </xf>
  </cellXfs>
  <cellStyles count="3">
    <cellStyle name="Normal" xfId="0" builtinId="0"/>
    <cellStyle name="Parasts 2" xfId="1"/>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printerSettings" Target="../printerSettings/printerSettings21.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4"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6"/>
  <sheetViews>
    <sheetView tabSelected="1" zoomScaleNormal="100" workbookViewId="0">
      <selection sqref="A1:B1"/>
    </sheetView>
  </sheetViews>
  <sheetFormatPr defaultRowHeight="15" x14ac:dyDescent="0.25"/>
  <cols>
    <col min="1" max="1" width="14.5703125" style="168" customWidth="1"/>
    <col min="2" max="2" width="108.42578125" style="168" customWidth="1"/>
    <col min="3" max="16384" width="9.140625" style="168"/>
  </cols>
  <sheetData>
    <row r="1" spans="1:2" ht="15" customHeight="1" x14ac:dyDescent="0.25">
      <c r="A1" s="185" t="s">
        <v>148</v>
      </c>
      <c r="B1" s="185"/>
    </row>
    <row r="2" spans="1:2" ht="17.100000000000001" customHeight="1" x14ac:dyDescent="0.25">
      <c r="A2" s="184" t="s">
        <v>107</v>
      </c>
      <c r="B2" s="184"/>
    </row>
    <row r="3" spans="1:2" ht="30" x14ac:dyDescent="0.25">
      <c r="A3" s="169" t="s">
        <v>27</v>
      </c>
      <c r="B3" s="170" t="s">
        <v>28</v>
      </c>
    </row>
    <row r="4" spans="1:2" ht="45" x14ac:dyDescent="0.25">
      <c r="A4" s="169" t="s">
        <v>29</v>
      </c>
      <c r="B4" s="170" t="s">
        <v>108</v>
      </c>
    </row>
    <row r="5" spans="1:2" ht="286.5" customHeight="1" x14ac:dyDescent="0.25">
      <c r="A5" s="169" t="s">
        <v>133</v>
      </c>
      <c r="B5" s="170" t="s">
        <v>109</v>
      </c>
    </row>
    <row r="6" spans="1:2" ht="105" x14ac:dyDescent="0.25">
      <c r="A6" s="169" t="s">
        <v>30</v>
      </c>
      <c r="B6" s="170" t="s">
        <v>110</v>
      </c>
    </row>
  </sheetData>
  <customSheetViews>
    <customSheetView guid="{BE8ADE53-8BEB-4C68-A52B-650D06D579FF}" topLeftCell="A4">
      <selection activeCell="B8" sqref="B8"/>
      <pageMargins left="0.70866141732283472" right="0.70866141732283472" top="0.74803149606299213" bottom="0.74803149606299213" header="0.31496062992125984" footer="0.31496062992125984"/>
      <pageSetup paperSize="9" orientation="landscape" r:id="rId1"/>
    </customSheetView>
    <customSheetView guid="{DD9369C5-0AB7-4492-8028-68BB156F28A4}" scale="91">
      <selection activeCell="B9" sqref="B9"/>
      <pageMargins left="0.70866141732283472" right="0.70866141732283472" top="0.74803149606299213" bottom="0.74803149606299213" header="0.31496062992125984" footer="0.31496062992125984"/>
      <pageSetup paperSize="9" orientation="landscape" r:id="rId2"/>
    </customSheetView>
    <customSheetView guid="{CC63F85D-63B9-4AE4-A28C-227DAE744DBC}" scale="90">
      <selection activeCell="B8" sqref="B8"/>
      <pageMargins left="0.70866141732283472" right="0.70866141732283472" top="0.74803149606299213" bottom="0.74803149606299213" header="0.31496062992125984" footer="0.31496062992125984"/>
      <pageSetup paperSize="9" orientation="landscape" r:id="rId3"/>
    </customSheetView>
  </customSheetViews>
  <mergeCells count="2">
    <mergeCell ref="A2:B2"/>
    <mergeCell ref="A1:B1"/>
  </mergeCells>
  <pageMargins left="0.70866141732283472" right="0.70866141732283472" top="0.74803149606299213" bottom="0.74803149606299213" header="0.31496062992125984" footer="0.31496062992125984"/>
  <pageSetup paperSize="9" scale="98" fitToWidth="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zoomScaleNormal="100" workbookViewId="0">
      <selection sqref="A1:H1"/>
    </sheetView>
  </sheetViews>
  <sheetFormatPr defaultRowHeight="15" x14ac:dyDescent="0.25"/>
  <cols>
    <col min="1" max="1" width="26.140625" style="4" customWidth="1"/>
    <col min="2" max="2" width="9.140625" style="4"/>
    <col min="3" max="3" width="11.42578125" style="4" customWidth="1"/>
    <col min="4" max="4" width="10.28515625" style="4" customWidth="1"/>
    <col min="5" max="5" width="9.140625" style="4"/>
    <col min="6" max="6" width="36.85546875" style="4" customWidth="1"/>
    <col min="7" max="7" width="55.28515625" style="4" customWidth="1"/>
    <col min="8" max="8" width="64.5703125" style="4" customWidth="1"/>
    <col min="9" max="9" width="10" style="4" bestFit="1" customWidth="1"/>
    <col min="10" max="10" width="9.140625" style="4"/>
    <col min="11" max="11" width="9.5703125" style="4" bestFit="1" customWidth="1"/>
    <col min="12" max="16384" width="9.140625" style="4"/>
  </cols>
  <sheetData>
    <row r="1" spans="1:12" x14ac:dyDescent="0.25">
      <c r="A1" s="186" t="s">
        <v>71</v>
      </c>
      <c r="B1" s="186"/>
      <c r="C1" s="186"/>
      <c r="D1" s="186"/>
      <c r="E1" s="186"/>
      <c r="F1" s="186"/>
      <c r="G1" s="186"/>
      <c r="H1" s="186"/>
      <c r="I1" s="5"/>
    </row>
    <row r="2" spans="1:12" ht="17.100000000000001" customHeight="1" x14ac:dyDescent="0.25">
      <c r="A2" s="188" t="s">
        <v>111</v>
      </c>
      <c r="B2" s="188"/>
      <c r="C2" s="188"/>
      <c r="D2" s="188"/>
      <c r="E2" s="188"/>
      <c r="F2" s="188"/>
      <c r="G2" s="188"/>
      <c r="H2" s="188"/>
    </row>
    <row r="3" spans="1:12" s="10" customFormat="1" ht="28.5" x14ac:dyDescent="0.2">
      <c r="A3" s="187"/>
      <c r="B3" s="191" t="s">
        <v>12</v>
      </c>
      <c r="C3" s="141" t="s">
        <v>13</v>
      </c>
      <c r="D3" s="191" t="s">
        <v>149</v>
      </c>
      <c r="E3" s="191"/>
      <c r="F3" s="191" t="s">
        <v>1</v>
      </c>
      <c r="G3" s="189" t="s">
        <v>31</v>
      </c>
      <c r="H3" s="189" t="s">
        <v>32</v>
      </c>
    </row>
    <row r="4" spans="1:12" x14ac:dyDescent="0.25">
      <c r="A4" s="187"/>
      <c r="B4" s="191"/>
      <c r="C4" s="142" t="s">
        <v>62</v>
      </c>
      <c r="D4" s="142" t="s">
        <v>62</v>
      </c>
      <c r="E4" s="143" t="s">
        <v>0</v>
      </c>
      <c r="F4" s="191"/>
      <c r="G4" s="189"/>
      <c r="H4" s="189"/>
    </row>
    <row r="5" spans="1:12" ht="75" x14ac:dyDescent="0.25">
      <c r="A5" s="86" t="s">
        <v>7</v>
      </c>
      <c r="B5" s="140">
        <f>SUM(B6:B7)</f>
        <v>2</v>
      </c>
      <c r="C5" s="87">
        <f>SUM(C6:C7)</f>
        <v>1938.58</v>
      </c>
      <c r="D5" s="87">
        <f>SUM(D6:D7)</f>
        <v>5.63</v>
      </c>
      <c r="E5" s="88">
        <f>D5/D$19</f>
        <v>0.91396103896103897</v>
      </c>
      <c r="F5" s="89"/>
      <c r="G5" s="183" t="s">
        <v>171</v>
      </c>
      <c r="H5" s="90"/>
      <c r="I5" s="6"/>
      <c r="J5" s="6"/>
      <c r="K5" s="6"/>
    </row>
    <row r="6" spans="1:12" ht="195" x14ac:dyDescent="0.25">
      <c r="A6" s="13" t="s">
        <v>10</v>
      </c>
      <c r="B6" s="14">
        <v>1</v>
      </c>
      <c r="C6" s="15">
        <v>943.38</v>
      </c>
      <c r="D6" s="15">
        <f>ROUND(C6/21/8,2)</f>
        <v>5.62</v>
      </c>
      <c r="E6" s="37">
        <f>D6/D$19</f>
        <v>0.91233766233766234</v>
      </c>
      <c r="F6" s="16" t="s">
        <v>151</v>
      </c>
      <c r="G6" s="9" t="s">
        <v>150</v>
      </c>
      <c r="H6" s="16" t="s">
        <v>136</v>
      </c>
      <c r="I6" s="7"/>
      <c r="J6" s="7"/>
      <c r="K6" s="7"/>
      <c r="L6" s="6"/>
    </row>
    <row r="7" spans="1:12" ht="157.5" customHeight="1" x14ac:dyDescent="0.25">
      <c r="A7" s="17" t="s">
        <v>127</v>
      </c>
      <c r="B7" s="18">
        <v>1</v>
      </c>
      <c r="C7" s="18">
        <v>995.2</v>
      </c>
      <c r="D7" s="19">
        <f>ROUND(C7/400/21/8,2)</f>
        <v>0.01</v>
      </c>
      <c r="E7" s="37">
        <f>D7/D$19</f>
        <v>1.6233766233766233E-3</v>
      </c>
      <c r="F7" s="20" t="s">
        <v>153</v>
      </c>
      <c r="G7" s="21" t="s">
        <v>152</v>
      </c>
      <c r="H7" s="20" t="s">
        <v>112</v>
      </c>
      <c r="I7" s="6"/>
      <c r="J7" s="6"/>
    </row>
    <row r="8" spans="1:12" ht="71.25" x14ac:dyDescent="0.25">
      <c r="A8" s="22" t="s">
        <v>76</v>
      </c>
      <c r="B8" s="23"/>
      <c r="C8" s="24">
        <f>SUM(C9:C18)</f>
        <v>89.039999999999992</v>
      </c>
      <c r="D8" s="24">
        <f>SUM(D9:D18)</f>
        <v>0.53</v>
      </c>
      <c r="E8" s="36">
        <f>D8/D$19</f>
        <v>8.603896103896104E-2</v>
      </c>
      <c r="F8" s="23"/>
      <c r="G8" s="23"/>
      <c r="H8" s="23"/>
    </row>
    <row r="9" spans="1:12" ht="30" x14ac:dyDescent="0.25">
      <c r="A9" s="1" t="str">
        <f>'1.4. pielikums'!B10</f>
        <v>Kancelejas preces un biroja preces</v>
      </c>
      <c r="B9" s="3"/>
      <c r="C9" s="25">
        <f>21*8*D9</f>
        <v>1.68</v>
      </c>
      <c r="D9" s="25">
        <f>'1.4. pielikums'!AJ10</f>
        <v>0.01</v>
      </c>
      <c r="E9" s="37">
        <f>D9/D$19</f>
        <v>1.6233766233766233E-3</v>
      </c>
      <c r="F9" s="2" t="s">
        <v>114</v>
      </c>
      <c r="G9" s="190" t="s">
        <v>134</v>
      </c>
      <c r="H9" s="26"/>
    </row>
    <row r="10" spans="1:12" s="11" customFormat="1" ht="30" x14ac:dyDescent="0.25">
      <c r="A10" s="27" t="str">
        <f>'1.4. pielikums'!B8</f>
        <v>Saimniecības un higiēnas preces</v>
      </c>
      <c r="B10" s="28"/>
      <c r="C10" s="29">
        <f t="shared" ref="C10:C17" si="0">21*8*D10</f>
        <v>8.4</v>
      </c>
      <c r="D10" s="29">
        <f>'1.4. pielikums'!AJ8</f>
        <v>0.05</v>
      </c>
      <c r="E10" s="37">
        <f t="shared" ref="E10:E18" si="1">D10/D$19</f>
        <v>8.1168831168831179E-3</v>
      </c>
      <c r="F10" s="30" t="s">
        <v>113</v>
      </c>
      <c r="G10" s="190"/>
      <c r="H10" s="31"/>
    </row>
    <row r="11" spans="1:12" s="12" customFormat="1" ht="30" x14ac:dyDescent="0.25">
      <c r="A11" s="32" t="str">
        <f>'1.4. pielikums'!B11</f>
        <v>Transports (degviela, īre, apkope, adrošināšana u.c.)</v>
      </c>
      <c r="B11" s="28"/>
      <c r="C11" s="29">
        <f t="shared" si="0"/>
        <v>23.520000000000003</v>
      </c>
      <c r="D11" s="29">
        <f>'1.4. pielikums'!AJ11</f>
        <v>0.14000000000000001</v>
      </c>
      <c r="E11" s="37">
        <f t="shared" si="1"/>
        <v>2.2727272727272728E-2</v>
      </c>
      <c r="F11" s="30" t="s">
        <v>117</v>
      </c>
      <c r="G11" s="190"/>
      <c r="H11" s="33"/>
    </row>
    <row r="12" spans="1:12" s="12" customFormat="1" ht="60" x14ac:dyDescent="0.25">
      <c r="A12" s="21" t="str">
        <f>'1.4. pielikums'!B12</f>
        <v>Telpas (īre, komunālie maksājumi, uzturēšanas pasākumi)</v>
      </c>
      <c r="B12" s="33"/>
      <c r="C12" s="29">
        <f t="shared" si="0"/>
        <v>11.760000000000002</v>
      </c>
      <c r="D12" s="29">
        <f>'1.4. pielikums'!AJ12</f>
        <v>7.0000000000000007E-2</v>
      </c>
      <c r="E12" s="37">
        <f t="shared" si="1"/>
        <v>1.1363636363636364E-2</v>
      </c>
      <c r="F12" s="16" t="s">
        <v>116</v>
      </c>
      <c r="G12" s="190"/>
      <c r="H12" s="9" t="s">
        <v>155</v>
      </c>
    </row>
    <row r="13" spans="1:12" ht="30" x14ac:dyDescent="0.25">
      <c r="A13" s="32" t="str">
        <f>'1.4. pielikums'!B16</f>
        <v>Inventārs, inventāra remonts (materiāli un pakalpojums)</v>
      </c>
      <c r="B13" s="28"/>
      <c r="C13" s="29">
        <f t="shared" si="0"/>
        <v>6.72</v>
      </c>
      <c r="D13" s="29">
        <f>'1.4. pielikums'!AJ16</f>
        <v>0.04</v>
      </c>
      <c r="E13" s="37">
        <f t="shared" si="1"/>
        <v>6.4935064935064931E-3</v>
      </c>
      <c r="F13" s="30" t="s">
        <v>115</v>
      </c>
      <c r="G13" s="190"/>
      <c r="H13" s="3"/>
    </row>
    <row r="14" spans="1:12" ht="30" x14ac:dyDescent="0.25">
      <c r="A14" s="21" t="str">
        <f>'1.4. pielikums'!B14</f>
        <v>Darbinieku izglītības izdevumi</v>
      </c>
      <c r="B14" s="33"/>
      <c r="C14" s="29">
        <f>21*8*D14</f>
        <v>6.72</v>
      </c>
      <c r="D14" s="29">
        <f>'1.4. pielikums'!AJ14</f>
        <v>0.04</v>
      </c>
      <c r="E14" s="37">
        <f t="shared" si="1"/>
        <v>6.4935064935064931E-3</v>
      </c>
      <c r="F14" s="16" t="s">
        <v>115</v>
      </c>
      <c r="G14" s="190"/>
      <c r="H14" s="3"/>
    </row>
    <row r="15" spans="1:12" ht="30" x14ac:dyDescent="0.25">
      <c r="A15" s="1" t="str">
        <f>'1.4. pielikums'!B6</f>
        <v>Sakaru pakalpojumi (telefons, internets, pasts)</v>
      </c>
      <c r="B15" s="3"/>
      <c r="C15" s="25">
        <f t="shared" si="0"/>
        <v>5.04</v>
      </c>
      <c r="D15" s="25">
        <f>'1.4. pielikums'!AJ6</f>
        <v>0.03</v>
      </c>
      <c r="E15" s="37">
        <f t="shared" si="1"/>
        <v>4.87012987012987E-3</v>
      </c>
      <c r="F15" s="2" t="s">
        <v>119</v>
      </c>
      <c r="G15" s="190"/>
      <c r="H15" s="3"/>
    </row>
    <row r="16" spans="1:12" ht="60" x14ac:dyDescent="0.25">
      <c r="A16" s="32" t="s">
        <v>6</v>
      </c>
      <c r="B16" s="28"/>
      <c r="C16" s="29">
        <f t="shared" si="0"/>
        <v>5.04</v>
      </c>
      <c r="D16" s="29">
        <f>'1.4. pielikums'!AJ15</f>
        <v>0.03</v>
      </c>
      <c r="E16" s="37">
        <f t="shared" si="1"/>
        <v>4.87012987012987E-3</v>
      </c>
      <c r="F16" s="30" t="s">
        <v>118</v>
      </c>
      <c r="G16" s="190"/>
      <c r="H16" s="3"/>
    </row>
    <row r="17" spans="1:8" ht="45" x14ac:dyDescent="0.25">
      <c r="A17" s="20" t="s">
        <v>67</v>
      </c>
      <c r="B17" s="34"/>
      <c r="C17" s="29">
        <f t="shared" si="0"/>
        <v>6.72</v>
      </c>
      <c r="D17" s="29">
        <f>'1.3. pielikums'!F7</f>
        <v>0.04</v>
      </c>
      <c r="E17" s="37">
        <f t="shared" si="1"/>
        <v>6.4935064935064931E-3</v>
      </c>
      <c r="F17" s="16" t="s">
        <v>115</v>
      </c>
      <c r="G17" s="16" t="s">
        <v>135</v>
      </c>
      <c r="H17" s="3"/>
    </row>
    <row r="18" spans="1:8" ht="60" x14ac:dyDescent="0.25">
      <c r="A18" s="20" t="s">
        <v>89</v>
      </c>
      <c r="B18" s="34"/>
      <c r="C18" s="15">
        <f>21*8*D18</f>
        <v>13.44</v>
      </c>
      <c r="D18" s="29">
        <f>'1.5. pielikums'!G5</f>
        <v>0.08</v>
      </c>
      <c r="E18" s="37">
        <f t="shared" si="1"/>
        <v>1.2987012987012986E-2</v>
      </c>
      <c r="F18" s="16" t="s">
        <v>126</v>
      </c>
      <c r="G18" s="16" t="s">
        <v>154</v>
      </c>
      <c r="H18" s="3"/>
    </row>
    <row r="19" spans="1:8" s="8" customFormat="1" x14ac:dyDescent="0.2">
      <c r="A19" s="137" t="s">
        <v>132</v>
      </c>
      <c r="B19" s="23"/>
      <c r="C19" s="24">
        <f>C8+C5</f>
        <v>2027.62</v>
      </c>
      <c r="D19" s="24">
        <f>D8+D5</f>
        <v>6.16</v>
      </c>
      <c r="E19" s="36">
        <f>E8+E5</f>
        <v>1</v>
      </c>
      <c r="F19" s="138"/>
      <c r="G19" s="139"/>
      <c r="H19" s="139"/>
    </row>
    <row r="20" spans="1:8" x14ac:dyDescent="0.25">
      <c r="D20" s="6"/>
    </row>
    <row r="21" spans="1:8" x14ac:dyDescent="0.25">
      <c r="D21" s="6"/>
    </row>
  </sheetData>
  <customSheetViews>
    <customSheetView guid="{BE8ADE53-8BEB-4C68-A52B-650D06D579FF}" scale="86" showPageBreaks="1" topLeftCell="A10">
      <selection activeCell="K9" sqref="K9"/>
      <pageMargins left="0.70866141732283472" right="0.70866141732283472" top="0.74803149606299213" bottom="0.74803149606299213" header="0.31496062992125984" footer="0.31496062992125984"/>
      <pageSetup paperSize="9" scale="55" orientation="landscape" r:id="rId1"/>
    </customSheetView>
    <customSheetView guid="{DD9369C5-0AB7-4492-8028-68BB156F28A4}" scale="86">
      <selection activeCell="G8" sqref="G8"/>
      <pageMargins left="0.70866141732283472" right="0.70866141732283472" top="0.74803149606299213" bottom="0.74803149606299213" header="0.31496062992125984" footer="0.31496062992125984"/>
      <pageSetup paperSize="9" scale="55" orientation="landscape" r:id="rId2"/>
    </customSheetView>
    <customSheetView guid="{CC63F85D-63B9-4AE4-A28C-227DAE744DBC}" scale="86" showPageBreaks="1">
      <selection activeCell="F2" sqref="F2"/>
      <pageMargins left="0.70866141732283472" right="0.70866141732283472" top="0.74803149606299213" bottom="0.74803149606299213" header="0.31496062992125984" footer="0.31496062992125984"/>
      <pageSetup paperSize="9" scale="55" orientation="landscape" r:id="rId3"/>
    </customSheetView>
  </customSheetViews>
  <mergeCells count="9">
    <mergeCell ref="A1:H1"/>
    <mergeCell ref="A3:A4"/>
    <mergeCell ref="A2:H2"/>
    <mergeCell ref="H3:H4"/>
    <mergeCell ref="G9:G16"/>
    <mergeCell ref="G3:G4"/>
    <mergeCell ref="B3:B4"/>
    <mergeCell ref="D3:E3"/>
    <mergeCell ref="F3:F4"/>
  </mergeCells>
  <pageMargins left="0.70866141732283472" right="0.70866141732283472" top="0.74803149606299213" bottom="0.74803149606299213" header="0.31496062992125984" footer="0.31496062992125984"/>
  <pageSetup paperSize="9" scale="38" fitToWidth="0" orientation="landscape"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zoomScaleNormal="90" workbookViewId="0">
      <selection sqref="A1:F1"/>
    </sheetView>
  </sheetViews>
  <sheetFormatPr defaultRowHeight="15" x14ac:dyDescent="0.25"/>
  <cols>
    <col min="1" max="1" width="24.85546875" style="4" customWidth="1"/>
    <col min="2" max="2" width="14.42578125" style="4" customWidth="1"/>
    <col min="3" max="3" width="12.85546875" style="4" customWidth="1"/>
    <col min="4" max="4" width="16" style="4" customWidth="1"/>
    <col min="5" max="5" width="15.7109375" style="4" customWidth="1"/>
    <col min="6" max="6" width="33.7109375" style="4" customWidth="1"/>
    <col min="7" max="16384" width="9.140625" style="4"/>
  </cols>
  <sheetData>
    <row r="1" spans="1:6" x14ac:dyDescent="0.25">
      <c r="A1" s="186" t="s">
        <v>70</v>
      </c>
      <c r="B1" s="186"/>
      <c r="C1" s="186"/>
      <c r="D1" s="186"/>
      <c r="E1" s="186"/>
      <c r="F1" s="186"/>
    </row>
    <row r="2" spans="1:6" s="10" customFormat="1" ht="17.100000000000001" customHeight="1" x14ac:dyDescent="0.2">
      <c r="A2" s="194" t="s">
        <v>120</v>
      </c>
      <c r="B2" s="194"/>
      <c r="C2" s="194"/>
      <c r="D2" s="194"/>
      <c r="E2" s="194"/>
      <c r="F2" s="194"/>
    </row>
    <row r="3" spans="1:6" ht="57.75" customHeight="1" x14ac:dyDescent="0.25">
      <c r="A3" s="35" t="s">
        <v>140</v>
      </c>
      <c r="B3" s="94" t="s">
        <v>11</v>
      </c>
      <c r="C3" s="94" t="s">
        <v>8</v>
      </c>
      <c r="D3" s="94" t="s">
        <v>64</v>
      </c>
      <c r="E3" s="39" t="s">
        <v>137</v>
      </c>
      <c r="F3" s="39" t="s">
        <v>139</v>
      </c>
    </row>
    <row r="4" spans="1:6" ht="13.5" customHeight="1" x14ac:dyDescent="0.25">
      <c r="A4" s="148">
        <v>1</v>
      </c>
      <c r="B4" s="148">
        <v>2</v>
      </c>
      <c r="C4" s="148">
        <v>3</v>
      </c>
      <c r="D4" s="149" t="s">
        <v>65</v>
      </c>
      <c r="E4" s="148" t="s">
        <v>66</v>
      </c>
      <c r="F4" s="150" t="s">
        <v>121</v>
      </c>
    </row>
    <row r="5" spans="1:6" ht="12.75" customHeight="1" x14ac:dyDescent="0.25">
      <c r="A5" s="21" t="s">
        <v>106</v>
      </c>
      <c r="B5" s="40">
        <v>400</v>
      </c>
      <c r="C5" s="41">
        <v>1</v>
      </c>
      <c r="D5" s="42">
        <f>ROUND(C5*213.43,2)</f>
        <v>213.43</v>
      </c>
      <c r="E5" s="43">
        <f>ROUND(D5/B5,2)</f>
        <v>0.53</v>
      </c>
      <c r="F5" s="43">
        <f>ROUNDUP(E5/252/8,2)</f>
        <v>0.01</v>
      </c>
    </row>
    <row r="6" spans="1:6" x14ac:dyDescent="0.25">
      <c r="A6" s="21" t="s">
        <v>4</v>
      </c>
      <c r="B6" s="40">
        <v>4</v>
      </c>
      <c r="C6" s="41">
        <v>1</v>
      </c>
      <c r="D6" s="42">
        <f>ROUND(C6*213.43,2)</f>
        <v>213.43</v>
      </c>
      <c r="E6" s="43">
        <f>ROUND(D6/B6,2)</f>
        <v>53.36</v>
      </c>
      <c r="F6" s="43">
        <f>ROUND(E6/252/8,2)</f>
        <v>0.03</v>
      </c>
    </row>
    <row r="7" spans="1:6" x14ac:dyDescent="0.25">
      <c r="A7" s="95" t="s">
        <v>132</v>
      </c>
      <c r="B7" s="44" t="s">
        <v>3</v>
      </c>
      <c r="C7" s="45">
        <f>SUM(C5:C6)</f>
        <v>2</v>
      </c>
      <c r="D7" s="46">
        <f>ROUND(SUM(D5:D6),2)</f>
        <v>426.86</v>
      </c>
      <c r="E7" s="46">
        <f>ROUND(SUM(E5:E6),2)</f>
        <v>53.89</v>
      </c>
      <c r="F7" s="46">
        <f>ROUND(SUM(F5:F6),2)</f>
        <v>0.04</v>
      </c>
    </row>
    <row r="8" spans="1:6" x14ac:dyDescent="0.25">
      <c r="A8" s="144"/>
      <c r="B8" s="145"/>
      <c r="C8" s="146"/>
      <c r="D8" s="147"/>
      <c r="E8" s="147"/>
      <c r="F8" s="147"/>
    </row>
    <row r="9" spans="1:6" ht="106.5" customHeight="1" x14ac:dyDescent="0.25">
      <c r="A9" s="192" t="s">
        <v>138</v>
      </c>
      <c r="B9" s="193"/>
      <c r="C9" s="193"/>
      <c r="D9" s="193"/>
      <c r="E9" s="193"/>
      <c r="F9" s="193"/>
    </row>
  </sheetData>
  <customSheetViews>
    <customSheetView guid="{BE8ADE53-8BEB-4C68-A52B-650D06D579FF}">
      <selection activeCell="K11" sqref="K11"/>
      <pageMargins left="0.70866141732283472" right="0.70866141732283472" top="0.74803149606299213" bottom="0.74803149606299213" header="0.31496062992125984" footer="0.31496062992125984"/>
      <pageSetup paperSize="9" scale="60" orientation="landscape" r:id="rId1"/>
    </customSheetView>
    <customSheetView guid="{DD9369C5-0AB7-4492-8028-68BB156F28A4}">
      <selection activeCell="E9" sqref="E9"/>
      <pageMargins left="0.70866141732283472" right="0.70866141732283472" top="0.74803149606299213" bottom="0.74803149606299213" header="0.31496062992125984" footer="0.31496062992125984"/>
      <pageSetup paperSize="9" scale="60" orientation="landscape" r:id="rId2"/>
    </customSheetView>
    <customSheetView guid="{CC63F85D-63B9-4AE4-A28C-227DAE744DBC}">
      <selection activeCell="A3" sqref="A3:F3"/>
      <pageMargins left="0.70866141732283472" right="0.70866141732283472" top="0.74803149606299213" bottom="0.74803149606299213" header="0.31496062992125984" footer="0.31496062992125984"/>
      <pageSetup paperSize="9" scale="60" orientation="landscape" r:id="rId3"/>
    </customSheetView>
  </customSheetViews>
  <mergeCells count="3">
    <mergeCell ref="A9:F9"/>
    <mergeCell ref="A2:F2"/>
    <mergeCell ref="A1:F1"/>
  </mergeCells>
  <pageMargins left="0.70866141732283472" right="0.70866141732283472" top="0.74803149606299213" bottom="0.74803149606299213" header="0.31496062992125984" footer="0.31496062992125984"/>
  <pageSetup paperSize="9" scale="60" orientation="landscape"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23"/>
  <sheetViews>
    <sheetView zoomScaleNormal="90" workbookViewId="0">
      <selection sqref="A1:AJ1"/>
    </sheetView>
  </sheetViews>
  <sheetFormatPr defaultRowHeight="15" x14ac:dyDescent="0.2"/>
  <cols>
    <col min="1" max="1" width="4.42578125" style="47" customWidth="1"/>
    <col min="2" max="2" width="23.7109375" style="47" customWidth="1"/>
    <col min="3" max="12" width="6.28515625" style="47" customWidth="1"/>
    <col min="13" max="13" width="12" style="47" customWidth="1"/>
    <col min="14" max="23" width="6.28515625" style="47" customWidth="1"/>
    <col min="24" max="24" width="12" style="47" customWidth="1"/>
    <col min="25" max="34" width="6.28515625" style="47" customWidth="1"/>
    <col min="35" max="36" width="12" style="47" customWidth="1"/>
    <col min="37" max="37" width="9.140625" style="47"/>
    <col min="38" max="38" width="9.140625" style="47" customWidth="1"/>
    <col min="39" max="16384" width="9.140625" style="47"/>
  </cols>
  <sheetData>
    <row r="1" spans="1:38" x14ac:dyDescent="0.2">
      <c r="A1" s="195" t="s">
        <v>72</v>
      </c>
      <c r="B1" s="195"/>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c r="AJ1" s="195"/>
    </row>
    <row r="2" spans="1:38" s="10" customFormat="1" ht="17.100000000000001" customHeight="1" thickBot="1" x14ac:dyDescent="0.25">
      <c r="A2" s="184" t="s">
        <v>131</v>
      </c>
      <c r="B2" s="184"/>
      <c r="C2" s="184"/>
      <c r="D2" s="18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row>
    <row r="3" spans="1:38" ht="30.75" customHeight="1" thickBot="1" x14ac:dyDescent="0.25">
      <c r="A3" s="198" t="s">
        <v>86</v>
      </c>
      <c r="B3" s="196" t="s">
        <v>33</v>
      </c>
      <c r="C3" s="202" t="s">
        <v>141</v>
      </c>
      <c r="D3" s="203"/>
      <c r="E3" s="203"/>
      <c r="F3" s="203"/>
      <c r="G3" s="203"/>
      <c r="H3" s="203"/>
      <c r="I3" s="203"/>
      <c r="J3" s="203"/>
      <c r="K3" s="203"/>
      <c r="L3" s="203"/>
      <c r="M3" s="204"/>
      <c r="N3" s="205" t="s">
        <v>142</v>
      </c>
      <c r="O3" s="205"/>
      <c r="P3" s="205"/>
      <c r="Q3" s="205"/>
      <c r="R3" s="205"/>
      <c r="S3" s="205"/>
      <c r="T3" s="205"/>
      <c r="U3" s="205"/>
      <c r="V3" s="205"/>
      <c r="W3" s="205"/>
      <c r="X3" s="206"/>
      <c r="Y3" s="202" t="s">
        <v>143</v>
      </c>
      <c r="Z3" s="209"/>
      <c r="AA3" s="209"/>
      <c r="AB3" s="209"/>
      <c r="AC3" s="209"/>
      <c r="AD3" s="209"/>
      <c r="AE3" s="209"/>
      <c r="AF3" s="209"/>
      <c r="AG3" s="209"/>
      <c r="AH3" s="209"/>
      <c r="AI3" s="210"/>
      <c r="AJ3" s="207" t="s">
        <v>69</v>
      </c>
    </row>
    <row r="4" spans="1:38" ht="30" x14ac:dyDescent="0.2">
      <c r="A4" s="199"/>
      <c r="B4" s="197"/>
      <c r="C4" s="151" t="s">
        <v>34</v>
      </c>
      <c r="D4" s="151" t="s">
        <v>35</v>
      </c>
      <c r="E4" s="151" t="s">
        <v>36</v>
      </c>
      <c r="F4" s="151" t="s">
        <v>37</v>
      </c>
      <c r="G4" s="151" t="s">
        <v>38</v>
      </c>
      <c r="H4" s="151" t="s">
        <v>39</v>
      </c>
      <c r="I4" s="151" t="s">
        <v>40</v>
      </c>
      <c r="J4" s="151" t="s">
        <v>41</v>
      </c>
      <c r="K4" s="151" t="s">
        <v>42</v>
      </c>
      <c r="L4" s="152" t="s">
        <v>43</v>
      </c>
      <c r="M4" s="153" t="s">
        <v>68</v>
      </c>
      <c r="N4" s="154" t="s">
        <v>34</v>
      </c>
      <c r="O4" s="151" t="s">
        <v>35</v>
      </c>
      <c r="P4" s="151" t="s">
        <v>36</v>
      </c>
      <c r="Q4" s="151" t="s">
        <v>37</v>
      </c>
      <c r="R4" s="151" t="s">
        <v>38</v>
      </c>
      <c r="S4" s="151" t="s">
        <v>39</v>
      </c>
      <c r="T4" s="151" t="s">
        <v>40</v>
      </c>
      <c r="U4" s="151" t="s">
        <v>41</v>
      </c>
      <c r="V4" s="151" t="s">
        <v>42</v>
      </c>
      <c r="W4" s="152" t="s">
        <v>43</v>
      </c>
      <c r="X4" s="153" t="s">
        <v>87</v>
      </c>
      <c r="Y4" s="154" t="s">
        <v>34</v>
      </c>
      <c r="Z4" s="151" t="s">
        <v>35</v>
      </c>
      <c r="AA4" s="151" t="s">
        <v>36</v>
      </c>
      <c r="AB4" s="151" t="s">
        <v>37</v>
      </c>
      <c r="AC4" s="151" t="s">
        <v>38</v>
      </c>
      <c r="AD4" s="151" t="s">
        <v>39</v>
      </c>
      <c r="AE4" s="151" t="s">
        <v>40</v>
      </c>
      <c r="AF4" s="151" t="s">
        <v>41</v>
      </c>
      <c r="AG4" s="151" t="s">
        <v>42</v>
      </c>
      <c r="AH4" s="152" t="s">
        <v>43</v>
      </c>
      <c r="AI4" s="153" t="s">
        <v>105</v>
      </c>
      <c r="AJ4" s="208"/>
      <c r="AL4" s="48"/>
    </row>
    <row r="5" spans="1:38" x14ac:dyDescent="0.2">
      <c r="A5" s="18">
        <v>1</v>
      </c>
      <c r="B5" s="49" t="s">
        <v>128</v>
      </c>
      <c r="C5" s="50">
        <v>2.97</v>
      </c>
      <c r="D5" s="51">
        <v>2.92</v>
      </c>
      <c r="E5" s="51">
        <v>2.98</v>
      </c>
      <c r="F5" s="50">
        <v>2.79</v>
      </c>
      <c r="G5" s="50">
        <v>2.91</v>
      </c>
      <c r="H5" s="51">
        <v>2.2200000000000002</v>
      </c>
      <c r="I5" s="51">
        <v>3.14</v>
      </c>
      <c r="J5" s="51">
        <v>2.4394</v>
      </c>
      <c r="K5" s="51">
        <v>3.33</v>
      </c>
      <c r="L5" s="52">
        <v>2.1800000000000002</v>
      </c>
      <c r="M5" s="53">
        <f>AVERAGE(C5:L5)</f>
        <v>2.7879399999999999</v>
      </c>
      <c r="N5" s="54">
        <v>3.34</v>
      </c>
      <c r="O5" s="51">
        <v>3.33</v>
      </c>
      <c r="P5" s="51">
        <v>3.32</v>
      </c>
      <c r="Q5" s="51">
        <v>3.11</v>
      </c>
      <c r="R5" s="51">
        <v>3.26</v>
      </c>
      <c r="S5" s="51">
        <v>2.391</v>
      </c>
      <c r="T5" s="51">
        <v>3.27</v>
      </c>
      <c r="U5" s="51">
        <v>2.2484999999999999</v>
      </c>
      <c r="V5" s="51">
        <v>3.4209999999999998</v>
      </c>
      <c r="W5" s="52">
        <v>2.1800000000000002</v>
      </c>
      <c r="X5" s="53">
        <f>ROUND(AVERAGE(N5:W5),2)</f>
        <v>2.99</v>
      </c>
      <c r="Y5" s="55">
        <v>3.34</v>
      </c>
      <c r="Z5" s="51">
        <v>3.33</v>
      </c>
      <c r="AA5" s="51">
        <v>3.32</v>
      </c>
      <c r="AB5" s="51">
        <v>3.11</v>
      </c>
      <c r="AC5" s="51">
        <v>3.26</v>
      </c>
      <c r="AD5" s="51">
        <v>2.5499999999999998</v>
      </c>
      <c r="AE5" s="51">
        <v>4.2699999999999996</v>
      </c>
      <c r="AF5" s="51">
        <v>2.86</v>
      </c>
      <c r="AG5" s="51">
        <v>3.71</v>
      </c>
      <c r="AH5" s="56">
        <v>2.34</v>
      </c>
      <c r="AI5" s="57">
        <f>ROUND(AVERAGE(Y5:AH5),2)</f>
        <v>3.21</v>
      </c>
      <c r="AJ5" s="58">
        <f>ROUND((M5+X5+AI5)/3,2)</f>
        <v>3</v>
      </c>
      <c r="AL5" s="59"/>
    </row>
    <row r="6" spans="1:38" ht="30" x14ac:dyDescent="0.2">
      <c r="A6" s="18">
        <v>2</v>
      </c>
      <c r="B6" s="91" t="s">
        <v>9</v>
      </c>
      <c r="C6" s="51">
        <v>0.02</v>
      </c>
      <c r="D6" s="51">
        <v>0.03</v>
      </c>
      <c r="E6" s="51">
        <v>0.02</v>
      </c>
      <c r="F6" s="50">
        <v>0.08</v>
      </c>
      <c r="G6" s="50">
        <v>0.01</v>
      </c>
      <c r="H6" s="51">
        <v>3.0000000000000001E-3</v>
      </c>
      <c r="I6" s="51">
        <v>0.05</v>
      </c>
      <c r="J6" s="51">
        <v>3.5000000000000001E-3</v>
      </c>
      <c r="K6" s="51">
        <v>5.7000000000000002E-2</v>
      </c>
      <c r="L6" s="52">
        <v>0.01</v>
      </c>
      <c r="M6" s="53">
        <f t="shared" ref="M6:M16" si="0">AVERAGE(C6:L6)</f>
        <v>2.8350000000000004E-2</v>
      </c>
      <c r="N6" s="54">
        <v>0.04</v>
      </c>
      <c r="O6" s="51">
        <v>0.03</v>
      </c>
      <c r="P6" s="51">
        <v>0.02</v>
      </c>
      <c r="Q6" s="51">
        <v>0.08</v>
      </c>
      <c r="R6" s="51">
        <v>0.01</v>
      </c>
      <c r="S6" s="51">
        <v>3.0000000000000001E-3</v>
      </c>
      <c r="T6" s="51">
        <v>0.05</v>
      </c>
      <c r="U6" s="51">
        <v>7.4999999999999997E-3</v>
      </c>
      <c r="V6" s="51">
        <v>4.9000000000000002E-2</v>
      </c>
      <c r="W6" s="52">
        <v>0.01</v>
      </c>
      <c r="X6" s="53">
        <f>ROUND(AVERAGE(N6:W6),2)</f>
        <v>0.03</v>
      </c>
      <c r="Y6" s="55">
        <v>0.04</v>
      </c>
      <c r="Z6" s="51">
        <v>0.03</v>
      </c>
      <c r="AA6" s="51">
        <v>0.02</v>
      </c>
      <c r="AB6" s="51">
        <v>0.08</v>
      </c>
      <c r="AC6" s="51">
        <v>0.01</v>
      </c>
      <c r="AD6" s="51">
        <v>3.7000000000000002E-3</v>
      </c>
      <c r="AE6" s="60"/>
      <c r="AF6" s="51">
        <v>0.01</v>
      </c>
      <c r="AG6" s="51">
        <v>0.05</v>
      </c>
      <c r="AH6" s="56">
        <v>0.01</v>
      </c>
      <c r="AI6" s="57">
        <f>ROUND(AVERAGE(Y6:AH6),2)</f>
        <v>0.03</v>
      </c>
      <c r="AJ6" s="61">
        <f>ROUND((M6+X6+AI6)/3,2)</f>
        <v>0.03</v>
      </c>
      <c r="AL6" s="62"/>
    </row>
    <row r="7" spans="1:38" x14ac:dyDescent="0.2">
      <c r="A7" s="18">
        <v>3</v>
      </c>
      <c r="B7" s="91" t="s">
        <v>129</v>
      </c>
      <c r="C7" s="60"/>
      <c r="D7" s="60"/>
      <c r="E7" s="60"/>
      <c r="F7" s="60"/>
      <c r="G7" s="60"/>
      <c r="H7" s="60"/>
      <c r="I7" s="60"/>
      <c r="J7" s="60"/>
      <c r="K7" s="60"/>
      <c r="L7" s="63"/>
      <c r="M7" s="53">
        <v>0</v>
      </c>
      <c r="N7" s="64"/>
      <c r="O7" s="60"/>
      <c r="P7" s="60"/>
      <c r="Q7" s="60"/>
      <c r="R7" s="60"/>
      <c r="S7" s="60"/>
      <c r="T7" s="60"/>
      <c r="U7" s="60"/>
      <c r="V7" s="60"/>
      <c r="W7" s="63"/>
      <c r="X7" s="53">
        <v>0</v>
      </c>
      <c r="Y7" s="65"/>
      <c r="Z7" s="60"/>
      <c r="AA7" s="60"/>
      <c r="AB7" s="60"/>
      <c r="AC7" s="60"/>
      <c r="AD7" s="60"/>
      <c r="AE7" s="60"/>
      <c r="AF7" s="60"/>
      <c r="AG7" s="60"/>
      <c r="AH7" s="66"/>
      <c r="AI7" s="57">
        <v>0</v>
      </c>
      <c r="AJ7" s="61">
        <f t="shared" ref="AJ7:AJ16" si="1">ROUND((M7+X7+AI7)/3,2)</f>
        <v>0</v>
      </c>
      <c r="AL7" s="62"/>
    </row>
    <row r="8" spans="1:38" ht="30" x14ac:dyDescent="0.2">
      <c r="A8" s="18">
        <v>4</v>
      </c>
      <c r="B8" s="91" t="s">
        <v>5</v>
      </c>
      <c r="C8" s="51">
        <v>0.02</v>
      </c>
      <c r="D8" s="51">
        <v>0.02</v>
      </c>
      <c r="E8" s="51">
        <v>0.04</v>
      </c>
      <c r="F8" s="50">
        <v>0.13</v>
      </c>
      <c r="G8" s="50">
        <v>0.03</v>
      </c>
      <c r="H8" s="60"/>
      <c r="I8" s="51">
        <v>0.03</v>
      </c>
      <c r="J8" s="51">
        <v>1.1000000000000001E-3</v>
      </c>
      <c r="K8" s="51">
        <v>2.5000000000000001E-2</v>
      </c>
      <c r="L8" s="63"/>
      <c r="M8" s="53">
        <f t="shared" si="0"/>
        <v>3.7012500000000004E-2</v>
      </c>
      <c r="N8" s="54">
        <v>0.02</v>
      </c>
      <c r="O8" s="51">
        <v>0.03</v>
      </c>
      <c r="P8" s="51">
        <v>0.04</v>
      </c>
      <c r="Q8" s="51">
        <v>0.13</v>
      </c>
      <c r="R8" s="51">
        <v>0.02</v>
      </c>
      <c r="S8" s="60"/>
      <c r="T8" s="51">
        <v>0.03</v>
      </c>
      <c r="U8" s="51">
        <v>1.1999999999999999E-3</v>
      </c>
      <c r="V8" s="51">
        <v>2.1000000000000001E-2</v>
      </c>
      <c r="W8" s="63"/>
      <c r="X8" s="53">
        <f t="shared" ref="X8:X16" si="2">ROUND(AVERAGE(N8:W8),2)</f>
        <v>0.04</v>
      </c>
      <c r="Y8" s="55">
        <v>0.02</v>
      </c>
      <c r="Z8" s="51">
        <v>0.03</v>
      </c>
      <c r="AA8" s="51">
        <v>0.04</v>
      </c>
      <c r="AB8" s="51">
        <v>0.13</v>
      </c>
      <c r="AC8" s="51">
        <v>0.02</v>
      </c>
      <c r="AD8" s="60"/>
      <c r="AE8" s="67">
        <v>0.46</v>
      </c>
      <c r="AF8" s="51">
        <v>0</v>
      </c>
      <c r="AG8" s="51">
        <v>0.02</v>
      </c>
      <c r="AH8" s="56">
        <v>0.01</v>
      </c>
      <c r="AI8" s="57">
        <f t="shared" ref="AI8:AI16" si="3">ROUND(AVERAGE(Y8:AH8),2)</f>
        <v>0.08</v>
      </c>
      <c r="AJ8" s="61">
        <f t="shared" si="1"/>
        <v>0.05</v>
      </c>
      <c r="AL8" s="62"/>
    </row>
    <row r="9" spans="1:38" ht="30" x14ac:dyDescent="0.2">
      <c r="A9" s="18">
        <v>5</v>
      </c>
      <c r="B9" s="91" t="s">
        <v>130</v>
      </c>
      <c r="C9" s="51">
        <v>0.01</v>
      </c>
      <c r="D9" s="51">
        <v>0.02</v>
      </c>
      <c r="E9" s="60"/>
      <c r="F9" s="68"/>
      <c r="G9" s="50">
        <v>0.02</v>
      </c>
      <c r="H9" s="60"/>
      <c r="I9" s="60"/>
      <c r="J9" s="60"/>
      <c r="K9" s="60"/>
      <c r="L9" s="63"/>
      <c r="M9" s="53">
        <f t="shared" si="0"/>
        <v>1.6666666666666666E-2</v>
      </c>
      <c r="N9" s="54">
        <v>0.04</v>
      </c>
      <c r="O9" s="51">
        <v>0.01</v>
      </c>
      <c r="P9" s="60"/>
      <c r="Q9" s="60"/>
      <c r="R9" s="51">
        <v>0.01</v>
      </c>
      <c r="S9" s="60"/>
      <c r="T9" s="60"/>
      <c r="U9" s="60"/>
      <c r="V9" s="60"/>
      <c r="W9" s="63"/>
      <c r="X9" s="53">
        <f t="shared" si="2"/>
        <v>0.02</v>
      </c>
      <c r="Y9" s="55">
        <v>0.04</v>
      </c>
      <c r="Z9" s="51">
        <v>0.01</v>
      </c>
      <c r="AA9" s="60"/>
      <c r="AB9" s="60"/>
      <c r="AC9" s="51">
        <v>0.01</v>
      </c>
      <c r="AD9" s="60"/>
      <c r="AE9" s="60"/>
      <c r="AF9" s="60"/>
      <c r="AG9" s="60"/>
      <c r="AH9" s="66"/>
      <c r="AI9" s="57">
        <f t="shared" si="3"/>
        <v>0.02</v>
      </c>
      <c r="AJ9" s="61">
        <f t="shared" si="1"/>
        <v>0.02</v>
      </c>
      <c r="AL9" s="62"/>
    </row>
    <row r="10" spans="1:38" ht="30" x14ac:dyDescent="0.2">
      <c r="A10" s="18">
        <v>6</v>
      </c>
      <c r="B10" s="91" t="s">
        <v>61</v>
      </c>
      <c r="C10" s="51">
        <v>0.01</v>
      </c>
      <c r="D10" s="51">
        <v>0.02</v>
      </c>
      <c r="E10" s="51">
        <v>0.03</v>
      </c>
      <c r="F10" s="50">
        <v>0.03</v>
      </c>
      <c r="G10" s="50">
        <v>0.01</v>
      </c>
      <c r="H10" s="51">
        <v>1.2999999999999999E-3</v>
      </c>
      <c r="I10" s="60"/>
      <c r="J10" s="51">
        <v>1.6000000000000001E-3</v>
      </c>
      <c r="K10" s="51">
        <v>0.02</v>
      </c>
      <c r="L10" s="52">
        <v>0.01</v>
      </c>
      <c r="M10" s="53">
        <f t="shared" si="0"/>
        <v>1.4766666666666666E-2</v>
      </c>
      <c r="N10" s="54">
        <v>0.01</v>
      </c>
      <c r="O10" s="51">
        <v>0.01</v>
      </c>
      <c r="P10" s="51">
        <v>0.03</v>
      </c>
      <c r="Q10" s="51">
        <v>0.03</v>
      </c>
      <c r="R10" s="51">
        <v>0.01</v>
      </c>
      <c r="S10" s="51">
        <v>2.5000000000000001E-3</v>
      </c>
      <c r="T10" s="60"/>
      <c r="U10" s="69">
        <v>1.1999999999999999E-3</v>
      </c>
      <c r="V10" s="51">
        <v>1.6E-2</v>
      </c>
      <c r="W10" s="52">
        <v>0.01</v>
      </c>
      <c r="X10" s="53">
        <f t="shared" si="2"/>
        <v>0.01</v>
      </c>
      <c r="Y10" s="55">
        <v>0.01</v>
      </c>
      <c r="Z10" s="51">
        <v>0.01</v>
      </c>
      <c r="AA10" s="51">
        <v>0.03</v>
      </c>
      <c r="AB10" s="51">
        <v>0.03</v>
      </c>
      <c r="AC10" s="51">
        <v>0.01</v>
      </c>
      <c r="AD10" s="51">
        <v>0</v>
      </c>
      <c r="AE10" s="60"/>
      <c r="AF10" s="51">
        <v>0</v>
      </c>
      <c r="AG10" s="51">
        <v>0.02</v>
      </c>
      <c r="AH10" s="56">
        <v>0.03</v>
      </c>
      <c r="AI10" s="57">
        <f t="shared" si="3"/>
        <v>0.02</v>
      </c>
      <c r="AJ10" s="61">
        <f t="shared" si="1"/>
        <v>0.01</v>
      </c>
      <c r="AL10" s="62"/>
    </row>
    <row r="11" spans="1:38" ht="30" x14ac:dyDescent="0.2">
      <c r="A11" s="18">
        <v>7</v>
      </c>
      <c r="B11" s="91" t="s">
        <v>44</v>
      </c>
      <c r="C11" s="51">
        <v>0.17</v>
      </c>
      <c r="D11" s="51">
        <v>0.15</v>
      </c>
      <c r="E11" s="51">
        <v>0.12</v>
      </c>
      <c r="F11" s="50">
        <v>0.12</v>
      </c>
      <c r="G11" s="50">
        <v>0.15</v>
      </c>
      <c r="H11" s="51">
        <v>0.03</v>
      </c>
      <c r="I11" s="51">
        <v>0.04</v>
      </c>
      <c r="J11" s="60"/>
      <c r="K11" s="51">
        <v>0.14000000000000001</v>
      </c>
      <c r="L11" s="52">
        <v>0.05</v>
      </c>
      <c r="M11" s="53">
        <f t="shared" si="0"/>
        <v>0.10777777777777781</v>
      </c>
      <c r="N11" s="54">
        <v>0.14000000000000001</v>
      </c>
      <c r="O11" s="51">
        <v>0.15</v>
      </c>
      <c r="P11" s="51">
        <v>0.24</v>
      </c>
      <c r="Q11" s="51">
        <v>0.2</v>
      </c>
      <c r="R11" s="51">
        <v>0.3</v>
      </c>
      <c r="S11" s="51">
        <v>0.03</v>
      </c>
      <c r="T11" s="51">
        <v>0.04</v>
      </c>
      <c r="U11" s="60"/>
      <c r="V11" s="51">
        <v>0.16</v>
      </c>
      <c r="W11" s="52">
        <v>0.05</v>
      </c>
      <c r="X11" s="53">
        <f t="shared" si="2"/>
        <v>0.15</v>
      </c>
      <c r="Y11" s="55">
        <v>0.14000000000000001</v>
      </c>
      <c r="Z11" s="51">
        <v>0.15</v>
      </c>
      <c r="AA11" s="51">
        <v>0.24</v>
      </c>
      <c r="AB11" s="51">
        <v>0.2</v>
      </c>
      <c r="AC11" s="51">
        <v>0.3</v>
      </c>
      <c r="AD11" s="51">
        <v>0.04</v>
      </c>
      <c r="AE11" s="60"/>
      <c r="AF11" s="60"/>
      <c r="AG11" s="51">
        <v>0.17</v>
      </c>
      <c r="AH11" s="56">
        <v>0.05</v>
      </c>
      <c r="AI11" s="57">
        <f t="shared" si="3"/>
        <v>0.16</v>
      </c>
      <c r="AJ11" s="61">
        <f t="shared" si="1"/>
        <v>0.14000000000000001</v>
      </c>
      <c r="AL11" s="62"/>
    </row>
    <row r="12" spans="1:38" ht="45" x14ac:dyDescent="0.2">
      <c r="A12" s="18">
        <v>8</v>
      </c>
      <c r="B12" s="21" t="s">
        <v>45</v>
      </c>
      <c r="C12" s="51">
        <v>0.03</v>
      </c>
      <c r="D12" s="51">
        <v>0.05</v>
      </c>
      <c r="E12" s="51">
        <v>0.02</v>
      </c>
      <c r="F12" s="70">
        <v>0.01</v>
      </c>
      <c r="G12" s="70">
        <v>0.02</v>
      </c>
      <c r="H12" s="60"/>
      <c r="I12" s="51">
        <v>0.27</v>
      </c>
      <c r="J12" s="51">
        <v>0.04</v>
      </c>
      <c r="K12" s="51">
        <v>0.1</v>
      </c>
      <c r="L12" s="63"/>
      <c r="M12" s="53">
        <f t="shared" si="0"/>
        <v>6.7500000000000004E-2</v>
      </c>
      <c r="N12" s="54">
        <v>0.03</v>
      </c>
      <c r="O12" s="51">
        <v>0.03</v>
      </c>
      <c r="P12" s="51">
        <v>0.02</v>
      </c>
      <c r="Q12" s="51">
        <v>0.01</v>
      </c>
      <c r="R12" s="51">
        <v>0.01</v>
      </c>
      <c r="S12" s="60"/>
      <c r="T12" s="51">
        <v>0.31</v>
      </c>
      <c r="U12" s="51">
        <v>0.05</v>
      </c>
      <c r="V12" s="51">
        <v>0.09</v>
      </c>
      <c r="W12" s="63"/>
      <c r="X12" s="53">
        <f t="shared" si="2"/>
        <v>7.0000000000000007E-2</v>
      </c>
      <c r="Y12" s="55">
        <v>0.03</v>
      </c>
      <c r="Z12" s="51">
        <v>0.03</v>
      </c>
      <c r="AA12" s="51">
        <v>0.02</v>
      </c>
      <c r="AB12" s="51">
        <v>0.01</v>
      </c>
      <c r="AC12" s="51">
        <v>0.01</v>
      </c>
      <c r="AD12" s="60"/>
      <c r="AE12" s="67">
        <v>0.37</v>
      </c>
      <c r="AF12" s="51">
        <v>0.05</v>
      </c>
      <c r="AG12" s="51">
        <v>0.09</v>
      </c>
      <c r="AH12" s="66"/>
      <c r="AI12" s="57">
        <f t="shared" si="3"/>
        <v>0.08</v>
      </c>
      <c r="AJ12" s="61">
        <f t="shared" si="1"/>
        <v>7.0000000000000007E-2</v>
      </c>
      <c r="AL12" s="62"/>
    </row>
    <row r="13" spans="1:38" ht="30" x14ac:dyDescent="0.2">
      <c r="A13" s="18">
        <v>9</v>
      </c>
      <c r="B13" s="21" t="s">
        <v>46</v>
      </c>
      <c r="C13" s="50">
        <v>0.04</v>
      </c>
      <c r="D13" s="51">
        <v>0.03</v>
      </c>
      <c r="E13" s="60"/>
      <c r="F13" s="50">
        <v>0.03</v>
      </c>
      <c r="G13" s="50">
        <v>0.04</v>
      </c>
      <c r="H13" s="51">
        <v>0.748</v>
      </c>
      <c r="I13" s="60"/>
      <c r="J13" s="60"/>
      <c r="K13" s="51">
        <v>1.0999999999999999E-2</v>
      </c>
      <c r="L13" s="52">
        <v>7.0000000000000007E-2</v>
      </c>
      <c r="M13" s="53">
        <f t="shared" si="0"/>
        <v>0.13842857142857143</v>
      </c>
      <c r="N13" s="54">
        <v>0.06</v>
      </c>
      <c r="O13" s="51">
        <v>0.03</v>
      </c>
      <c r="P13" s="60"/>
      <c r="Q13" s="51">
        <v>0.03</v>
      </c>
      <c r="R13" s="51">
        <v>0.05</v>
      </c>
      <c r="S13" s="51">
        <v>0.86599999999999999</v>
      </c>
      <c r="T13" s="60"/>
      <c r="U13" s="60"/>
      <c r="V13" s="51">
        <v>8.0000000000000002E-3</v>
      </c>
      <c r="W13" s="52">
        <v>7.0000000000000007E-2</v>
      </c>
      <c r="X13" s="53">
        <f t="shared" si="2"/>
        <v>0.16</v>
      </c>
      <c r="Y13" s="55">
        <v>0.06</v>
      </c>
      <c r="Z13" s="51">
        <v>0.03</v>
      </c>
      <c r="AA13" s="60"/>
      <c r="AB13" s="51">
        <v>0.03</v>
      </c>
      <c r="AC13" s="51">
        <v>0.05</v>
      </c>
      <c r="AD13" s="51">
        <v>0.1</v>
      </c>
      <c r="AE13" s="60"/>
      <c r="AF13" s="51">
        <v>0.02</v>
      </c>
      <c r="AG13" s="51">
        <v>0.01</v>
      </c>
      <c r="AH13" s="56">
        <v>7.0000000000000007E-2</v>
      </c>
      <c r="AI13" s="57">
        <f t="shared" si="3"/>
        <v>0.05</v>
      </c>
      <c r="AJ13" s="61">
        <f t="shared" si="1"/>
        <v>0.12</v>
      </c>
      <c r="AL13" s="62"/>
    </row>
    <row r="14" spans="1:38" ht="30" x14ac:dyDescent="0.2">
      <c r="A14" s="18">
        <v>10</v>
      </c>
      <c r="B14" s="21" t="s">
        <v>47</v>
      </c>
      <c r="C14" s="51">
        <v>0.01</v>
      </c>
      <c r="D14" s="51">
        <v>0.02</v>
      </c>
      <c r="E14" s="51">
        <v>0.01</v>
      </c>
      <c r="F14" s="50">
        <v>0.1</v>
      </c>
      <c r="G14" s="50">
        <v>0.01</v>
      </c>
      <c r="H14" s="60"/>
      <c r="I14" s="51">
        <v>0.03</v>
      </c>
      <c r="J14" s="60"/>
      <c r="K14" s="51">
        <v>3.2000000000000001E-2</v>
      </c>
      <c r="L14" s="52">
        <v>0.12</v>
      </c>
      <c r="M14" s="53">
        <f t="shared" si="0"/>
        <v>4.1500000000000002E-2</v>
      </c>
      <c r="N14" s="54">
        <v>0.01</v>
      </c>
      <c r="O14" s="51">
        <v>0.03</v>
      </c>
      <c r="P14" s="51">
        <v>0.01</v>
      </c>
      <c r="Q14" s="51">
        <v>0.1</v>
      </c>
      <c r="R14" s="51">
        <v>0.01</v>
      </c>
      <c r="S14" s="60"/>
      <c r="T14" s="51">
        <v>0.03</v>
      </c>
      <c r="U14" s="60"/>
      <c r="V14" s="51">
        <v>0.03</v>
      </c>
      <c r="W14" s="52">
        <v>0.12</v>
      </c>
      <c r="X14" s="53">
        <f t="shared" si="2"/>
        <v>0.04</v>
      </c>
      <c r="Y14" s="55">
        <v>0.01</v>
      </c>
      <c r="Z14" s="51">
        <v>0.03</v>
      </c>
      <c r="AA14" s="51">
        <v>0.01</v>
      </c>
      <c r="AB14" s="51">
        <v>0.1</v>
      </c>
      <c r="AC14" s="51">
        <v>0.01</v>
      </c>
      <c r="AD14" s="60"/>
      <c r="AE14" s="60"/>
      <c r="AF14" s="51">
        <v>0.01</v>
      </c>
      <c r="AG14" s="51">
        <v>0.03</v>
      </c>
      <c r="AH14" s="56">
        <v>0</v>
      </c>
      <c r="AI14" s="57">
        <f t="shared" si="3"/>
        <v>0.03</v>
      </c>
      <c r="AJ14" s="61">
        <f t="shared" si="1"/>
        <v>0.04</v>
      </c>
      <c r="AL14" s="62"/>
    </row>
    <row r="15" spans="1:38" ht="60" x14ac:dyDescent="0.2">
      <c r="A15" s="18">
        <v>11</v>
      </c>
      <c r="B15" s="21" t="s">
        <v>48</v>
      </c>
      <c r="C15" s="51">
        <v>0.02</v>
      </c>
      <c r="D15" s="51">
        <v>0.04</v>
      </c>
      <c r="E15" s="51">
        <v>0.08</v>
      </c>
      <c r="F15" s="50">
        <v>0.01</v>
      </c>
      <c r="G15" s="50">
        <v>0.1</v>
      </c>
      <c r="H15" s="51">
        <v>6.0000000000000001E-3</v>
      </c>
      <c r="I15" s="60"/>
      <c r="J15" s="51">
        <v>2.1399999999999999E-2</v>
      </c>
      <c r="K15" s="51">
        <v>2.4E-2</v>
      </c>
      <c r="L15" s="52">
        <v>0.1</v>
      </c>
      <c r="M15" s="53">
        <f t="shared" si="0"/>
        <v>4.4600000000000001E-2</v>
      </c>
      <c r="N15" s="54">
        <v>0.01</v>
      </c>
      <c r="O15" s="51">
        <v>0.05</v>
      </c>
      <c r="P15" s="51">
        <v>0.02</v>
      </c>
      <c r="Q15" s="51">
        <v>0.01</v>
      </c>
      <c r="R15" s="51">
        <v>0.02</v>
      </c>
      <c r="S15" s="51">
        <v>5.0000000000000001E-3</v>
      </c>
      <c r="T15" s="60"/>
      <c r="U15" s="51">
        <v>1.9E-2</v>
      </c>
      <c r="V15" s="51">
        <v>1.6E-2</v>
      </c>
      <c r="W15" s="52">
        <v>0.1</v>
      </c>
      <c r="X15" s="53">
        <f t="shared" si="2"/>
        <v>0.03</v>
      </c>
      <c r="Y15" s="55">
        <v>0.01</v>
      </c>
      <c r="Z15" s="51">
        <v>0.05</v>
      </c>
      <c r="AA15" s="51">
        <v>0.02</v>
      </c>
      <c r="AB15" s="51">
        <v>0.01</v>
      </c>
      <c r="AC15" s="51">
        <v>0.02</v>
      </c>
      <c r="AD15" s="51">
        <v>0</v>
      </c>
      <c r="AE15" s="60"/>
      <c r="AF15" s="51">
        <v>0.03</v>
      </c>
      <c r="AG15" s="51">
        <v>0.02</v>
      </c>
      <c r="AH15" s="56">
        <v>0.1</v>
      </c>
      <c r="AI15" s="57">
        <f t="shared" si="3"/>
        <v>0.03</v>
      </c>
      <c r="AJ15" s="61">
        <f t="shared" si="1"/>
        <v>0.03</v>
      </c>
      <c r="AL15" s="62"/>
    </row>
    <row r="16" spans="1:38" ht="45.75" thickBot="1" x14ac:dyDescent="0.25">
      <c r="A16" s="71">
        <v>12</v>
      </c>
      <c r="B16" s="72" t="s">
        <v>49</v>
      </c>
      <c r="C16" s="73"/>
      <c r="D16" s="73"/>
      <c r="E16" s="73"/>
      <c r="F16" s="73"/>
      <c r="G16" s="73"/>
      <c r="H16" s="74">
        <v>1E-3</v>
      </c>
      <c r="I16" s="74">
        <v>0.19</v>
      </c>
      <c r="J16" s="74">
        <v>1.8499999999999999E-2</v>
      </c>
      <c r="K16" s="74">
        <v>0.05</v>
      </c>
      <c r="L16" s="75">
        <v>0.01</v>
      </c>
      <c r="M16" s="76">
        <f t="shared" si="0"/>
        <v>5.3900000000000003E-2</v>
      </c>
      <c r="N16" s="77"/>
      <c r="O16" s="73"/>
      <c r="P16" s="73"/>
      <c r="Q16" s="73"/>
      <c r="R16" s="73"/>
      <c r="S16" s="74">
        <v>8.9999999999999993E-3</v>
      </c>
      <c r="T16" s="74">
        <v>0.19</v>
      </c>
      <c r="U16" s="74">
        <v>1.5E-3</v>
      </c>
      <c r="V16" s="74">
        <v>3.1E-2</v>
      </c>
      <c r="W16" s="75">
        <v>0.01</v>
      </c>
      <c r="X16" s="53">
        <f t="shared" si="2"/>
        <v>0.05</v>
      </c>
      <c r="Y16" s="78"/>
      <c r="Z16" s="73"/>
      <c r="AA16" s="73"/>
      <c r="AB16" s="73"/>
      <c r="AC16" s="73"/>
      <c r="AD16" s="74">
        <v>0</v>
      </c>
      <c r="AE16" s="73"/>
      <c r="AF16" s="74">
        <v>0</v>
      </c>
      <c r="AG16" s="74">
        <v>0.03</v>
      </c>
      <c r="AH16" s="79">
        <v>0.01</v>
      </c>
      <c r="AI16" s="57">
        <f t="shared" si="3"/>
        <v>0.01</v>
      </c>
      <c r="AJ16" s="61">
        <f t="shared" si="1"/>
        <v>0.04</v>
      </c>
      <c r="AL16" s="62"/>
    </row>
    <row r="17" spans="1:38" ht="15.75" thickBot="1" x14ac:dyDescent="0.25">
      <c r="A17" s="171">
        <v>13</v>
      </c>
      <c r="B17" s="172" t="s">
        <v>132</v>
      </c>
      <c r="C17" s="80">
        <f>SUM(C5:C16)</f>
        <v>3.2999999999999994</v>
      </c>
      <c r="D17" s="80">
        <f t="shared" ref="D17:X17" si="4">SUM(D5:D16)</f>
        <v>3.2999999999999994</v>
      </c>
      <c r="E17" s="80">
        <f t="shared" si="4"/>
        <v>3.3</v>
      </c>
      <c r="F17" s="80">
        <f t="shared" si="4"/>
        <v>3.2999999999999994</v>
      </c>
      <c r="G17" s="80">
        <f t="shared" si="4"/>
        <v>3.2999999999999994</v>
      </c>
      <c r="H17" s="80">
        <f t="shared" si="4"/>
        <v>3.0092999999999996</v>
      </c>
      <c r="I17" s="80">
        <f t="shared" si="4"/>
        <v>3.7499999999999996</v>
      </c>
      <c r="J17" s="80">
        <f t="shared" si="4"/>
        <v>2.5254999999999996</v>
      </c>
      <c r="K17" s="80">
        <f t="shared" si="4"/>
        <v>3.7890000000000001</v>
      </c>
      <c r="L17" s="81">
        <f t="shared" si="4"/>
        <v>2.5499999999999994</v>
      </c>
      <c r="M17" s="157">
        <f t="shared" si="4"/>
        <v>3.3384421825396822</v>
      </c>
      <c r="N17" s="158">
        <f t="shared" si="4"/>
        <v>3.6999999999999993</v>
      </c>
      <c r="O17" s="82">
        <f t="shared" si="4"/>
        <v>3.6999999999999984</v>
      </c>
      <c r="P17" s="82">
        <f t="shared" si="4"/>
        <v>3.6999999999999993</v>
      </c>
      <c r="Q17" s="82">
        <f t="shared" si="4"/>
        <v>3.6999999999999993</v>
      </c>
      <c r="R17" s="82">
        <f t="shared" si="4"/>
        <v>3.6999999999999984</v>
      </c>
      <c r="S17" s="82">
        <f t="shared" si="4"/>
        <v>3.3064999999999998</v>
      </c>
      <c r="T17" s="82">
        <f t="shared" si="4"/>
        <v>3.9199999999999995</v>
      </c>
      <c r="U17" s="82">
        <f t="shared" si="4"/>
        <v>2.3288999999999995</v>
      </c>
      <c r="V17" s="82">
        <f>SUM(V5:V16)</f>
        <v>3.8419999999999996</v>
      </c>
      <c r="W17" s="159">
        <f t="shared" si="4"/>
        <v>2.5499999999999994</v>
      </c>
      <c r="X17" s="157">
        <f t="shared" si="4"/>
        <v>3.5899999999999994</v>
      </c>
      <c r="Y17" s="160">
        <f>SUM(Y5:Y16)</f>
        <v>3.6999999999999993</v>
      </c>
      <c r="Z17" s="82">
        <f>SUM(Z5:Z16)</f>
        <v>3.6999999999999984</v>
      </c>
      <c r="AA17" s="82">
        <f t="shared" ref="AA17:AH17" si="5">SUM(AA5:AA16)</f>
        <v>3.6999999999999993</v>
      </c>
      <c r="AB17" s="82">
        <f t="shared" si="5"/>
        <v>3.6999999999999993</v>
      </c>
      <c r="AC17" s="82">
        <f t="shared" si="5"/>
        <v>3.6999999999999984</v>
      </c>
      <c r="AD17" s="82">
        <f t="shared" si="5"/>
        <v>2.6936999999999998</v>
      </c>
      <c r="AE17" s="82">
        <f t="shared" si="5"/>
        <v>5.0999999999999996</v>
      </c>
      <c r="AF17" s="82">
        <f t="shared" si="5"/>
        <v>2.9799999999999991</v>
      </c>
      <c r="AG17" s="82">
        <f t="shared" si="5"/>
        <v>4.1499999999999995</v>
      </c>
      <c r="AH17" s="82">
        <f t="shared" si="5"/>
        <v>2.6199999999999988</v>
      </c>
      <c r="AI17" s="161">
        <f>SUM(AI5:AI16)</f>
        <v>3.7199999999999993</v>
      </c>
      <c r="AJ17" s="162">
        <f>SUM(AJ5:AJ16)</f>
        <v>3.5499999999999994</v>
      </c>
      <c r="AL17" s="48"/>
    </row>
    <row r="19" spans="1:38" ht="31.5" customHeight="1" x14ac:dyDescent="0.2">
      <c r="A19" s="201" t="s">
        <v>98</v>
      </c>
      <c r="B19" s="201"/>
      <c r="C19" s="201"/>
      <c r="D19" s="201"/>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row>
    <row r="20" spans="1:38" ht="63" customHeight="1" x14ac:dyDescent="0.2">
      <c r="A20" s="200" t="s">
        <v>172</v>
      </c>
      <c r="B20" s="200"/>
      <c r="C20" s="200"/>
      <c r="D20" s="200"/>
      <c r="E20" s="200"/>
      <c r="F20" s="200"/>
      <c r="G20" s="200"/>
      <c r="H20" s="200"/>
      <c r="I20" s="200"/>
      <c r="J20" s="200"/>
      <c r="K20" s="200"/>
      <c r="L20" s="200"/>
      <c r="M20" s="200"/>
      <c r="N20" s="200"/>
      <c r="O20" s="200"/>
      <c r="P20" s="200"/>
      <c r="Q20" s="200"/>
      <c r="R20" s="200"/>
      <c r="S20" s="200"/>
      <c r="T20" s="200"/>
      <c r="U20" s="200"/>
      <c r="V20" s="200"/>
      <c r="W20" s="200"/>
      <c r="X20" s="200"/>
      <c r="Y20" s="200"/>
      <c r="Z20" s="200"/>
      <c r="AA20" s="200"/>
      <c r="AB20" s="200"/>
      <c r="AC20" s="200"/>
      <c r="AD20" s="200"/>
      <c r="AE20" s="200"/>
      <c r="AF20" s="200"/>
      <c r="AG20" s="200"/>
      <c r="AH20" s="200"/>
      <c r="AI20" s="200"/>
      <c r="AJ20" s="200"/>
    </row>
    <row r="21" spans="1:38" x14ac:dyDescent="0.2">
      <c r="A21" s="155"/>
      <c r="B21" s="155"/>
      <c r="C21" s="156"/>
      <c r="D21" s="156"/>
      <c r="E21" s="156"/>
      <c r="F21" s="156"/>
      <c r="G21" s="156"/>
      <c r="H21" s="156"/>
      <c r="I21" s="156"/>
      <c r="J21" s="156"/>
      <c r="K21" s="156"/>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5"/>
    </row>
    <row r="22" spans="1:38" x14ac:dyDescent="0.2">
      <c r="C22" s="83"/>
      <c r="D22" s="83"/>
      <c r="E22" s="83"/>
      <c r="F22" s="83"/>
      <c r="G22" s="83"/>
      <c r="H22" s="83"/>
      <c r="I22" s="83"/>
      <c r="J22" s="83"/>
      <c r="K22" s="83"/>
    </row>
    <row r="23" spans="1:38" x14ac:dyDescent="0.2">
      <c r="C23" s="83"/>
      <c r="D23" s="83"/>
      <c r="E23" s="83"/>
      <c r="F23" s="83"/>
      <c r="G23" s="83"/>
      <c r="H23" s="83"/>
      <c r="I23" s="83"/>
      <c r="J23" s="83"/>
      <c r="K23" s="83"/>
    </row>
  </sheetData>
  <customSheetViews>
    <customSheetView guid="{BE8ADE53-8BEB-4C68-A52B-650D06D579FF}" topLeftCell="A7">
      <selection activeCell="AE13" sqref="AE13"/>
      <pageMargins left="0.70866141732283472" right="0.70866141732283472" top="0.74803149606299213" bottom="0.74803149606299213" header="0.31496062992125984" footer="0.31496062992125984"/>
      <pageSetup paperSize="9" orientation="landscape" r:id="rId1"/>
    </customSheetView>
    <customSheetView guid="{DD9369C5-0AB7-4492-8028-68BB156F28A4}">
      <selection activeCell="AE12" sqref="AE12"/>
      <pageMargins left="0.70866141732283472" right="0.70866141732283472" top="0.74803149606299213" bottom="0.74803149606299213" header="0.31496062992125984" footer="0.31496062992125984"/>
      <pageSetup paperSize="9" orientation="landscape" r:id="rId2"/>
    </customSheetView>
    <customSheetView guid="{CC63F85D-63B9-4AE4-A28C-227DAE744DBC}">
      <selection activeCell="J20" sqref="J20"/>
      <pageMargins left="0.70866141732283472" right="0.70866141732283472" top="0.74803149606299213" bottom="0.74803149606299213" header="0.31496062992125984" footer="0.31496062992125984"/>
      <pageSetup paperSize="9" orientation="landscape" r:id="rId3"/>
    </customSheetView>
  </customSheetViews>
  <mergeCells count="10">
    <mergeCell ref="A1:AJ1"/>
    <mergeCell ref="B3:B4"/>
    <mergeCell ref="A3:A4"/>
    <mergeCell ref="A20:AJ20"/>
    <mergeCell ref="A19:AJ19"/>
    <mergeCell ref="C3:M3"/>
    <mergeCell ref="N3:X3"/>
    <mergeCell ref="AJ3:AJ4"/>
    <mergeCell ref="A2:AJ2"/>
    <mergeCell ref="Y3:AI3"/>
  </mergeCells>
  <pageMargins left="0.70866141732283472" right="0.70866141732283472" top="0.74803149606299213" bottom="0.74803149606299213" header="0.31496062992125984" footer="0.31496062992125984"/>
  <pageSetup paperSize="9" scale="51" fitToHeight="0" orientation="landscape"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
  <sheetViews>
    <sheetView zoomScaleNormal="100" workbookViewId="0">
      <selection sqref="A1:G1"/>
    </sheetView>
  </sheetViews>
  <sheetFormatPr defaultRowHeight="15" x14ac:dyDescent="0.25"/>
  <cols>
    <col min="1" max="1" width="32.7109375" style="12" customWidth="1"/>
    <col min="2" max="2" width="18.7109375" style="12" customWidth="1"/>
    <col min="3" max="3" width="10.7109375" style="12" customWidth="1"/>
    <col min="4" max="4" width="19" style="12" customWidth="1"/>
    <col min="5" max="5" width="22" style="12" customWidth="1"/>
    <col min="6" max="6" width="9.85546875" style="12" customWidth="1"/>
    <col min="7" max="7" width="22.7109375" style="12" customWidth="1"/>
    <col min="8" max="8" width="9.140625" style="12" customWidth="1"/>
    <col min="9" max="16384" width="9.140625" style="12"/>
  </cols>
  <sheetData>
    <row r="1" spans="1:7" x14ac:dyDescent="0.25">
      <c r="A1" s="185" t="s">
        <v>73</v>
      </c>
      <c r="B1" s="185"/>
      <c r="C1" s="185"/>
      <c r="D1" s="185"/>
      <c r="E1" s="185"/>
      <c r="F1" s="185"/>
      <c r="G1" s="185"/>
    </row>
    <row r="2" spans="1:7" ht="17.100000000000001" customHeight="1" x14ac:dyDescent="0.25">
      <c r="A2" s="218" t="s">
        <v>103</v>
      </c>
      <c r="B2" s="218"/>
      <c r="C2" s="218"/>
      <c r="D2" s="218"/>
      <c r="E2" s="218"/>
      <c r="F2" s="218"/>
      <c r="G2" s="218"/>
    </row>
    <row r="3" spans="1:7" ht="60" x14ac:dyDescent="0.25">
      <c r="A3" s="38" t="s">
        <v>92</v>
      </c>
      <c r="B3" s="38" t="s">
        <v>90</v>
      </c>
      <c r="C3" s="38" t="s">
        <v>102</v>
      </c>
      <c r="D3" s="38" t="s">
        <v>95</v>
      </c>
      <c r="E3" s="38" t="s">
        <v>96</v>
      </c>
      <c r="F3" s="94" t="s">
        <v>124</v>
      </c>
      <c r="G3" s="38" t="s">
        <v>100</v>
      </c>
    </row>
    <row r="4" spans="1:7" ht="12.75" customHeight="1" x14ac:dyDescent="0.25">
      <c r="A4" s="163">
        <v>1</v>
      </c>
      <c r="B4" s="163">
        <v>2</v>
      </c>
      <c r="C4" s="164">
        <v>3</v>
      </c>
      <c r="D4" s="163" t="s">
        <v>91</v>
      </c>
      <c r="E4" s="165" t="s">
        <v>104</v>
      </c>
      <c r="F4" s="165">
        <v>6</v>
      </c>
      <c r="G4" s="163" t="s">
        <v>125</v>
      </c>
    </row>
    <row r="5" spans="1:7" x14ac:dyDescent="0.25">
      <c r="A5" s="33" t="s">
        <v>123</v>
      </c>
      <c r="B5" s="18">
        <v>176.75</v>
      </c>
      <c r="C5" s="217">
        <v>1720</v>
      </c>
      <c r="D5" s="51">
        <f>B5/C5</f>
        <v>0.10276162790697674</v>
      </c>
      <c r="E5" s="212">
        <f>ROUND(AVERAGE(D5:D6),2)</f>
        <v>0.1</v>
      </c>
      <c r="F5" s="214">
        <v>0</v>
      </c>
      <c r="G5" s="219">
        <f>ROUND(E5*F5+E7*F7,2)</f>
        <v>0.08</v>
      </c>
    </row>
    <row r="6" spans="1:7" x14ac:dyDescent="0.25">
      <c r="A6" s="33" t="s">
        <v>93</v>
      </c>
      <c r="B6" s="18">
        <v>176.75</v>
      </c>
      <c r="C6" s="217"/>
      <c r="D6" s="51">
        <f>B6/C5</f>
        <v>0.10276162790697674</v>
      </c>
      <c r="E6" s="213"/>
      <c r="F6" s="215"/>
      <c r="G6" s="219"/>
    </row>
    <row r="7" spans="1:7" x14ac:dyDescent="0.25">
      <c r="A7" s="33" t="s">
        <v>94</v>
      </c>
      <c r="B7" s="18">
        <v>75.75</v>
      </c>
      <c r="C7" s="217"/>
      <c r="D7" s="51">
        <f>ROUND(B7/C5,2)</f>
        <v>0.04</v>
      </c>
      <c r="E7" s="93">
        <f>D7</f>
        <v>0.04</v>
      </c>
      <c r="F7" s="92">
        <v>2</v>
      </c>
      <c r="G7" s="219"/>
    </row>
    <row r="9" spans="1:7" ht="30" customHeight="1" x14ac:dyDescent="0.25">
      <c r="A9" s="216" t="s">
        <v>156</v>
      </c>
      <c r="B9" s="216"/>
      <c r="C9" s="216"/>
      <c r="D9" s="216"/>
      <c r="E9" s="216"/>
      <c r="F9" s="216"/>
      <c r="G9" s="216"/>
    </row>
    <row r="10" spans="1:7" ht="60" customHeight="1" x14ac:dyDescent="0.25">
      <c r="A10" s="216" t="s">
        <v>101</v>
      </c>
      <c r="B10" s="216"/>
      <c r="C10" s="216"/>
      <c r="D10" s="216"/>
      <c r="E10" s="216"/>
      <c r="F10" s="216"/>
      <c r="G10" s="216"/>
    </row>
    <row r="11" spans="1:7" ht="30" customHeight="1" x14ac:dyDescent="0.25">
      <c r="A11" s="216" t="s">
        <v>99</v>
      </c>
      <c r="B11" s="216"/>
      <c r="C11" s="216"/>
      <c r="D11" s="216"/>
      <c r="E11" s="216"/>
      <c r="F11" s="216"/>
      <c r="G11" s="216"/>
    </row>
    <row r="12" spans="1:7" x14ac:dyDescent="0.25">
      <c r="A12" s="211" t="s">
        <v>122</v>
      </c>
      <c r="B12" s="211"/>
      <c r="C12" s="211"/>
      <c r="D12" s="211"/>
      <c r="E12" s="211"/>
      <c r="F12" s="211"/>
      <c r="G12" s="211"/>
    </row>
    <row r="15" spans="1:7" x14ac:dyDescent="0.25">
      <c r="E15" s="84"/>
      <c r="F15" s="84"/>
    </row>
  </sheetData>
  <mergeCells count="10">
    <mergeCell ref="A12:G12"/>
    <mergeCell ref="E5:E6"/>
    <mergeCell ref="F5:F6"/>
    <mergeCell ref="A11:G11"/>
    <mergeCell ref="C5:C7"/>
    <mergeCell ref="A1:G1"/>
    <mergeCell ref="A2:G2"/>
    <mergeCell ref="A9:G9"/>
    <mergeCell ref="A10:G10"/>
    <mergeCell ref="G5:G7"/>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zoomScaleNormal="90" workbookViewId="0">
      <selection sqref="A1:B1"/>
    </sheetView>
  </sheetViews>
  <sheetFormatPr defaultRowHeight="15" x14ac:dyDescent="0.25"/>
  <cols>
    <col min="1" max="1" width="12.7109375" style="4" customWidth="1"/>
    <col min="2" max="2" width="82.85546875" style="4" customWidth="1"/>
    <col min="3" max="16384" width="9.140625" style="4"/>
  </cols>
  <sheetData>
    <row r="1" spans="1:2" ht="15" customHeight="1" x14ac:dyDescent="0.25">
      <c r="A1" s="221" t="s">
        <v>75</v>
      </c>
      <c r="B1" s="221"/>
    </row>
    <row r="2" spans="1:2" ht="33.950000000000003" customHeight="1" x14ac:dyDescent="0.25">
      <c r="A2" s="220" t="s">
        <v>52</v>
      </c>
      <c r="B2" s="220"/>
    </row>
    <row r="3" spans="1:2" ht="15" customHeight="1" x14ac:dyDescent="0.25">
      <c r="A3" s="163" t="s">
        <v>50</v>
      </c>
      <c r="B3" s="163" t="s">
        <v>51</v>
      </c>
    </row>
    <row r="4" spans="1:2" ht="216.75" customHeight="1" x14ac:dyDescent="0.25">
      <c r="A4" s="13" t="s">
        <v>26</v>
      </c>
      <c r="B4" s="85" t="s">
        <v>173</v>
      </c>
    </row>
    <row r="13" spans="1:2" x14ac:dyDescent="0.25">
      <c r="B13" s="7"/>
    </row>
  </sheetData>
  <customSheetViews>
    <customSheetView guid="{BE8ADE53-8BEB-4C68-A52B-650D06D579FF}">
      <selection activeCell="B1" sqref="B1"/>
      <pageMargins left="0.70866141732283472" right="0.70866141732283472" top="0.74803149606299213" bottom="0.74803149606299213" header="0.31496062992125984" footer="0.31496062992125984"/>
      <pageSetup paperSize="9" orientation="landscape" r:id="rId1"/>
    </customSheetView>
    <customSheetView guid="{DD9369C5-0AB7-4492-8028-68BB156F28A4}">
      <selection activeCell="H7" sqref="H7"/>
      <pageMargins left="0.70866141732283472" right="0.70866141732283472" top="0.74803149606299213" bottom="0.74803149606299213" header="0.31496062992125984" footer="0.31496062992125984"/>
      <pageSetup paperSize="9" orientation="landscape" r:id="rId2"/>
    </customSheetView>
    <customSheetView guid="{CC63F85D-63B9-4AE4-A28C-227DAE744DBC}">
      <selection activeCell="D18" sqref="B16:D18"/>
      <pageMargins left="0.70866141732283472" right="0.70866141732283472" top="0.74803149606299213" bottom="0.74803149606299213" header="0.31496062992125984" footer="0.31496062992125984"/>
      <pageSetup paperSize="9" orientation="landscape" r:id="rId3"/>
    </customSheetView>
  </customSheetViews>
  <mergeCells count="2">
    <mergeCell ref="A2:B2"/>
    <mergeCell ref="A1:B1"/>
  </mergeCells>
  <pageMargins left="0.70866141732283472" right="0.70866141732283472" top="0.74803149606299213" bottom="0.74803149606299213" header="0.31496062992125984" footer="0.31496062992125984"/>
  <pageSetup paperSize="9" orientation="landscape"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3"/>
  <sheetViews>
    <sheetView zoomScaleNormal="100" workbookViewId="0">
      <selection sqref="A1:I1"/>
    </sheetView>
  </sheetViews>
  <sheetFormatPr defaultRowHeight="15" x14ac:dyDescent="0.25"/>
  <cols>
    <col min="1" max="1" width="4.5703125" style="96" customWidth="1"/>
    <col min="2" max="2" width="51.28515625" style="96" customWidth="1"/>
    <col min="3" max="3" width="10" style="96" customWidth="1"/>
    <col min="4" max="5" width="11.7109375" style="96" customWidth="1"/>
    <col min="6" max="6" width="10" style="96" customWidth="1"/>
    <col min="7" max="7" width="11.5703125" style="96" customWidth="1"/>
    <col min="8" max="8" width="57" style="96" customWidth="1"/>
    <col min="9" max="9" width="41.85546875" style="96" customWidth="1"/>
    <col min="10" max="10" width="9.5703125" style="96" bestFit="1" customWidth="1"/>
    <col min="11" max="11" width="9.140625" style="96"/>
    <col min="12" max="12" width="9.5703125" style="96" bestFit="1" customWidth="1"/>
    <col min="13" max="16384" width="9.140625" style="96"/>
  </cols>
  <sheetData>
    <row r="1" spans="1:14" x14ac:dyDescent="0.25">
      <c r="A1" s="186" t="s">
        <v>97</v>
      </c>
      <c r="B1" s="186"/>
      <c r="C1" s="186"/>
      <c r="D1" s="186"/>
      <c r="E1" s="186"/>
      <c r="F1" s="186"/>
      <c r="G1" s="186"/>
      <c r="H1" s="186"/>
      <c r="I1" s="186"/>
    </row>
    <row r="2" spans="1:14" x14ac:dyDescent="0.25">
      <c r="A2" s="184" t="s">
        <v>170</v>
      </c>
      <c r="B2" s="184"/>
      <c r="C2" s="184"/>
      <c r="D2" s="184"/>
      <c r="E2" s="184"/>
      <c r="F2" s="184"/>
      <c r="G2" s="184"/>
      <c r="H2" s="184"/>
      <c r="I2" s="184"/>
    </row>
    <row r="3" spans="1:14" ht="28.5" x14ac:dyDescent="0.25">
      <c r="A3" s="223" t="s">
        <v>86</v>
      </c>
      <c r="B3" s="222"/>
      <c r="C3" s="191" t="s">
        <v>157</v>
      </c>
      <c r="D3" s="223" t="s">
        <v>18</v>
      </c>
      <c r="E3" s="223" t="s">
        <v>63</v>
      </c>
      <c r="F3" s="166" t="s">
        <v>14</v>
      </c>
      <c r="G3" s="166" t="s">
        <v>15</v>
      </c>
      <c r="H3" s="222" t="s">
        <v>54</v>
      </c>
      <c r="I3" s="222" t="s">
        <v>60</v>
      </c>
    </row>
    <row r="4" spans="1:14" ht="72" x14ac:dyDescent="0.25">
      <c r="A4" s="223"/>
      <c r="B4" s="222"/>
      <c r="C4" s="223"/>
      <c r="D4" s="223"/>
      <c r="E4" s="223"/>
      <c r="F4" s="141" t="s">
        <v>145</v>
      </c>
      <c r="G4" s="141" t="s">
        <v>146</v>
      </c>
      <c r="H4" s="222"/>
      <c r="I4" s="222"/>
    </row>
    <row r="5" spans="1:14" ht="30" x14ac:dyDescent="0.25">
      <c r="A5" s="224" t="s">
        <v>17</v>
      </c>
      <c r="B5" s="224"/>
      <c r="C5" s="97"/>
      <c r="D5" s="97"/>
      <c r="E5" s="98"/>
      <c r="F5" s="99"/>
      <c r="G5" s="99"/>
      <c r="H5" s="39" t="s">
        <v>53</v>
      </c>
      <c r="I5" s="100"/>
    </row>
    <row r="6" spans="1:14" ht="60" x14ac:dyDescent="0.25">
      <c r="A6" s="101">
        <v>1</v>
      </c>
      <c r="B6" s="102" t="s">
        <v>16</v>
      </c>
      <c r="C6" s="103">
        <v>171.37</v>
      </c>
      <c r="D6" s="103" t="s">
        <v>19</v>
      </c>
      <c r="E6" s="103">
        <f>C6/36</f>
        <v>4.7602777777777776</v>
      </c>
      <c r="F6" s="104">
        <f>C6/36</f>
        <v>4.7602777777777776</v>
      </c>
      <c r="G6" s="101">
        <v>0</v>
      </c>
      <c r="H6" s="105" t="s">
        <v>144</v>
      </c>
      <c r="I6" s="106"/>
      <c r="J6" s="107"/>
      <c r="K6" s="107"/>
    </row>
    <row r="7" spans="1:14" ht="60" x14ac:dyDescent="0.25">
      <c r="A7" s="101">
        <v>2</v>
      </c>
      <c r="B7" s="102" t="s">
        <v>88</v>
      </c>
      <c r="C7" s="108">
        <v>287.77</v>
      </c>
      <c r="D7" s="103" t="s">
        <v>19</v>
      </c>
      <c r="E7" s="103">
        <f>C7/36</f>
        <v>7.993611111111111</v>
      </c>
      <c r="F7" s="101">
        <v>0</v>
      </c>
      <c r="G7" s="104">
        <f>C7/36</f>
        <v>7.993611111111111</v>
      </c>
      <c r="H7" s="174" t="s">
        <v>159</v>
      </c>
      <c r="I7" s="106"/>
      <c r="K7" s="6"/>
    </row>
    <row r="8" spans="1:14" ht="30" x14ac:dyDescent="0.25">
      <c r="A8" s="101">
        <v>3</v>
      </c>
      <c r="B8" s="102" t="s">
        <v>77</v>
      </c>
      <c r="C8" s="103">
        <v>2.5</v>
      </c>
      <c r="D8" s="108" t="s">
        <v>20</v>
      </c>
      <c r="E8" s="103">
        <f>C8/1</f>
        <v>2.5</v>
      </c>
      <c r="F8" s="104">
        <v>0</v>
      </c>
      <c r="G8" s="104">
        <f>E8</f>
        <v>2.5</v>
      </c>
      <c r="H8" s="174" t="s">
        <v>158</v>
      </c>
      <c r="I8" s="106"/>
    </row>
    <row r="9" spans="1:14" ht="26.25" customHeight="1" x14ac:dyDescent="0.25">
      <c r="A9" s="225" t="s">
        <v>59</v>
      </c>
      <c r="B9" s="226"/>
      <c r="C9" s="109"/>
      <c r="D9" s="109"/>
      <c r="E9" s="109"/>
      <c r="F9" s="110"/>
      <c r="G9" s="110"/>
      <c r="H9" s="99"/>
      <c r="I9" s="110"/>
    </row>
    <row r="10" spans="1:14" ht="30" x14ac:dyDescent="0.25">
      <c r="A10" s="101">
        <v>4</v>
      </c>
      <c r="B10" s="111" t="s">
        <v>78</v>
      </c>
      <c r="C10" s="112"/>
      <c r="D10" s="112"/>
      <c r="E10" s="112"/>
      <c r="F10" s="101"/>
      <c r="G10" s="101"/>
      <c r="H10" s="113"/>
      <c r="I10" s="106"/>
    </row>
    <row r="11" spans="1:14" ht="195" x14ac:dyDescent="0.25">
      <c r="A11" s="101">
        <v>5</v>
      </c>
      <c r="B11" s="114" t="s">
        <v>21</v>
      </c>
      <c r="C11" s="114">
        <v>1476.67</v>
      </c>
      <c r="D11" s="114" t="s">
        <v>55</v>
      </c>
      <c r="E11" s="114">
        <f>C11</f>
        <v>1476.67</v>
      </c>
      <c r="F11" s="115">
        <f>E11/1000</f>
        <v>1.4766700000000001</v>
      </c>
      <c r="G11" s="115">
        <f>E11/1000</f>
        <v>1.4766700000000001</v>
      </c>
      <c r="H11" s="116" t="s">
        <v>162</v>
      </c>
      <c r="I11" s="117" t="s">
        <v>85</v>
      </c>
      <c r="J11" s="107"/>
      <c r="K11" s="107"/>
    </row>
    <row r="12" spans="1:14" ht="120" x14ac:dyDescent="0.25">
      <c r="A12" s="101">
        <v>6</v>
      </c>
      <c r="B12" s="111" t="s">
        <v>24</v>
      </c>
      <c r="C12" s="119">
        <v>1356.3</v>
      </c>
      <c r="D12" s="114" t="s">
        <v>55</v>
      </c>
      <c r="E12" s="114">
        <f>C12*3</f>
        <v>4068.8999999999996</v>
      </c>
      <c r="F12" s="115">
        <f>E12/1000</f>
        <v>4.0688999999999993</v>
      </c>
      <c r="G12" s="115">
        <f>E12/1000</f>
        <v>4.0688999999999993</v>
      </c>
      <c r="H12" s="116" t="s">
        <v>160</v>
      </c>
      <c r="I12" s="118" t="s">
        <v>147</v>
      </c>
      <c r="J12" s="107"/>
      <c r="K12" s="107"/>
    </row>
    <row r="13" spans="1:14" ht="141" customHeight="1" x14ac:dyDescent="0.25">
      <c r="A13" s="101">
        <v>7</v>
      </c>
      <c r="B13" s="111" t="s">
        <v>22</v>
      </c>
      <c r="C13" s="119">
        <v>750</v>
      </c>
      <c r="D13" s="114" t="s">
        <v>55</v>
      </c>
      <c r="E13" s="119">
        <f>C13</f>
        <v>750</v>
      </c>
      <c r="F13" s="115">
        <f>E13/1000</f>
        <v>0.75</v>
      </c>
      <c r="G13" s="115">
        <f>E13/1000</f>
        <v>0.75</v>
      </c>
      <c r="H13" s="116" t="s">
        <v>79</v>
      </c>
      <c r="I13" s="105"/>
      <c r="L13" s="120"/>
    </row>
    <row r="14" spans="1:14" ht="45" x14ac:dyDescent="0.25">
      <c r="A14" s="101">
        <v>8</v>
      </c>
      <c r="B14" s="111" t="s">
        <v>80</v>
      </c>
      <c r="C14" s="121">
        <v>25000</v>
      </c>
      <c r="D14" s="114" t="s">
        <v>58</v>
      </c>
      <c r="E14" s="121">
        <f>C14/84</f>
        <v>297.61904761904759</v>
      </c>
      <c r="F14" s="115">
        <f>E14/1000</f>
        <v>0.29761904761904762</v>
      </c>
      <c r="G14" s="115">
        <f>E14/1000</f>
        <v>0.29761904761904762</v>
      </c>
      <c r="H14" s="116" t="s">
        <v>161</v>
      </c>
      <c r="I14" s="122"/>
    </row>
    <row r="15" spans="1:14" ht="75" x14ac:dyDescent="0.25">
      <c r="A15" s="227" t="s">
        <v>25</v>
      </c>
      <c r="B15" s="227"/>
      <c r="C15" s="123"/>
      <c r="D15" s="123"/>
      <c r="E15" s="123"/>
      <c r="F15" s="124"/>
      <c r="G15" s="124"/>
      <c r="H15" s="125" t="s">
        <v>174</v>
      </c>
      <c r="I15" s="126"/>
    </row>
    <row r="16" spans="1:14" ht="120" x14ac:dyDescent="0.25">
      <c r="A16" s="101">
        <v>9</v>
      </c>
      <c r="B16" s="111" t="s">
        <v>81</v>
      </c>
      <c r="C16" s="114">
        <v>1115.57</v>
      </c>
      <c r="D16" s="114" t="s">
        <v>56</v>
      </c>
      <c r="E16" s="114">
        <f>C16</f>
        <v>1115.57</v>
      </c>
      <c r="F16" s="115">
        <f>E16/200</f>
        <v>5.5778499999999998</v>
      </c>
      <c r="G16" s="115">
        <f>E16/200</f>
        <v>5.5778499999999998</v>
      </c>
      <c r="H16" s="116" t="s">
        <v>164</v>
      </c>
      <c r="I16" s="2" t="s">
        <v>163</v>
      </c>
      <c r="J16" s="107"/>
      <c r="K16" s="107"/>
      <c r="L16" s="127"/>
      <c r="M16" s="107"/>
      <c r="N16" s="107"/>
    </row>
    <row r="17" spans="1:12" ht="288.75" customHeight="1" x14ac:dyDescent="0.25">
      <c r="A17" s="101">
        <v>10</v>
      </c>
      <c r="B17" s="111" t="s">
        <v>82</v>
      </c>
      <c r="C17" s="119">
        <v>943.09</v>
      </c>
      <c r="D17" s="114" t="s">
        <v>56</v>
      </c>
      <c r="E17" s="119">
        <f>C17*5</f>
        <v>4715.45</v>
      </c>
      <c r="F17" s="115">
        <f>E17/200</f>
        <v>23.577249999999999</v>
      </c>
      <c r="G17" s="115">
        <f>E17/200</f>
        <v>23.577249999999999</v>
      </c>
      <c r="H17" s="116" t="s">
        <v>168</v>
      </c>
      <c r="I17" s="175" t="s">
        <v>165</v>
      </c>
      <c r="J17" s="107"/>
      <c r="K17" s="107"/>
      <c r="L17" s="107"/>
    </row>
    <row r="18" spans="1:12" ht="60" x14ac:dyDescent="0.25">
      <c r="A18" s="101">
        <v>11</v>
      </c>
      <c r="B18" s="128" t="s">
        <v>83</v>
      </c>
      <c r="C18" s="129">
        <v>24550</v>
      </c>
      <c r="D18" s="111" t="s">
        <v>57</v>
      </c>
      <c r="E18" s="130">
        <f>C18/60</f>
        <v>409.16666666666669</v>
      </c>
      <c r="F18" s="104">
        <f>E18/200</f>
        <v>2.0458333333333334</v>
      </c>
      <c r="G18" s="104">
        <f>E18/200</f>
        <v>2.0458333333333334</v>
      </c>
      <c r="H18" s="174" t="s">
        <v>167</v>
      </c>
      <c r="I18" s="122"/>
    </row>
    <row r="19" spans="1:12" ht="75" x14ac:dyDescent="0.25">
      <c r="A19" s="101">
        <v>12</v>
      </c>
      <c r="B19" s="128" t="s">
        <v>84</v>
      </c>
      <c r="C19" s="111">
        <v>770</v>
      </c>
      <c r="D19" s="111" t="s">
        <v>56</v>
      </c>
      <c r="E19" s="111">
        <f>C19</f>
        <v>770</v>
      </c>
      <c r="F19" s="104">
        <f>E19/200</f>
        <v>3.85</v>
      </c>
      <c r="G19" s="104">
        <f>E19/200</f>
        <v>3.85</v>
      </c>
      <c r="H19" s="174" t="s">
        <v>169</v>
      </c>
      <c r="I19" s="122"/>
      <c r="J19" s="173"/>
    </row>
    <row r="20" spans="1:12" x14ac:dyDescent="0.25">
      <c r="A20" s="101">
        <v>13</v>
      </c>
      <c r="B20" s="131" t="s">
        <v>2</v>
      </c>
      <c r="C20" s="111" t="s">
        <v>3</v>
      </c>
      <c r="D20" s="111" t="s">
        <v>3</v>
      </c>
      <c r="E20" s="111" t="s">
        <v>3</v>
      </c>
      <c r="F20" s="132">
        <f>SUM(F16:F19)+SUM(F11:F14)+SUM(F6:F8)</f>
        <v>46.404400158730162</v>
      </c>
      <c r="G20" s="132">
        <f>SUM(G16:G19)+SUM(G11:G14)+SUM(G6:G8)</f>
        <v>52.137733492063489</v>
      </c>
      <c r="H20" s="177"/>
      <c r="I20" s="178"/>
    </row>
    <row r="21" spans="1:12" ht="29.25" x14ac:dyDescent="0.25">
      <c r="A21" s="101">
        <v>14</v>
      </c>
      <c r="B21" s="176" t="s">
        <v>166</v>
      </c>
      <c r="C21" s="108" t="s">
        <v>3</v>
      </c>
      <c r="D21" s="111" t="s">
        <v>23</v>
      </c>
      <c r="E21" s="108" t="s">
        <v>3</v>
      </c>
      <c r="F21" s="132">
        <f>F20*10%</f>
        <v>4.6404400158730166</v>
      </c>
      <c r="G21" s="132">
        <f>G20*10%</f>
        <v>5.2137733492063489</v>
      </c>
      <c r="H21" s="179"/>
      <c r="I21" s="180"/>
    </row>
    <row r="22" spans="1:12" s="167" customFormat="1" x14ac:dyDescent="0.25">
      <c r="A22" s="124">
        <v>15</v>
      </c>
      <c r="B22" s="133" t="s">
        <v>132</v>
      </c>
      <c r="C22" s="125" t="s">
        <v>3</v>
      </c>
      <c r="D22" s="125" t="s">
        <v>3</v>
      </c>
      <c r="E22" s="125" t="s">
        <v>3</v>
      </c>
      <c r="F22" s="134">
        <f>F20+F21</f>
        <v>51.044840174603181</v>
      </c>
      <c r="G22" s="134">
        <f>G20+G21</f>
        <v>57.351506841269838</v>
      </c>
      <c r="H22" s="181"/>
      <c r="I22" s="182"/>
    </row>
    <row r="23" spans="1:12" x14ac:dyDescent="0.25">
      <c r="B23" s="135"/>
      <c r="C23" s="135"/>
      <c r="D23" s="135"/>
      <c r="E23" s="135"/>
    </row>
    <row r="24" spans="1:12" x14ac:dyDescent="0.25">
      <c r="A24" s="228" t="s">
        <v>74</v>
      </c>
      <c r="B24" s="228"/>
      <c r="C24" s="228"/>
      <c r="D24" s="228"/>
      <c r="E24" s="228"/>
      <c r="F24" s="228"/>
      <c r="G24" s="228"/>
      <c r="H24" s="228"/>
      <c r="I24" s="228"/>
    </row>
    <row r="25" spans="1:12" x14ac:dyDescent="0.25">
      <c r="B25" s="135"/>
      <c r="C25" s="135"/>
      <c r="D25" s="135"/>
      <c r="E25" s="135"/>
    </row>
    <row r="26" spans="1:12" x14ac:dyDescent="0.25">
      <c r="C26" s="135"/>
      <c r="D26" s="135"/>
      <c r="E26" s="135"/>
    </row>
    <row r="27" spans="1:12" x14ac:dyDescent="0.25">
      <c r="B27" s="135"/>
      <c r="C27" s="135"/>
      <c r="D27" s="135"/>
      <c r="E27" s="135"/>
    </row>
    <row r="28" spans="1:12" x14ac:dyDescent="0.25">
      <c r="B28" s="135"/>
      <c r="C28" s="135"/>
      <c r="D28" s="135"/>
      <c r="E28" s="135"/>
    </row>
    <row r="29" spans="1:12" x14ac:dyDescent="0.25">
      <c r="B29" s="135"/>
      <c r="C29" s="135"/>
      <c r="D29" s="135"/>
      <c r="E29" s="135"/>
    </row>
    <row r="42" spans="5:8" x14ac:dyDescent="0.25">
      <c r="E42" s="136"/>
      <c r="F42" s="127"/>
      <c r="H42" s="127"/>
    </row>
    <row r="43" spans="5:8" x14ac:dyDescent="0.25">
      <c r="E43" s="127"/>
      <c r="G43" s="127"/>
    </row>
  </sheetData>
  <customSheetViews>
    <customSheetView guid="{BE8ADE53-8BEB-4C68-A52B-650D06D579FF}" showPageBreaks="1" topLeftCell="A17">
      <selection activeCell="H20" sqref="H20"/>
      <pageMargins left="0.70866141732283472" right="0.70866141732283472" top="0.74803149606299213" bottom="0.74803149606299213" header="0.31496062992125984" footer="0.31496062992125984"/>
      <pageSetup paperSize="9" scale="55" orientation="landscape" r:id="rId1"/>
    </customSheetView>
    <customSheetView guid="{DD9369C5-0AB7-4492-8028-68BB156F28A4}">
      <selection activeCell="G2" sqref="G2"/>
      <pageMargins left="0.70866141732283472" right="0.70866141732283472" top="0.74803149606299213" bottom="0.74803149606299213" header="0.31496062992125984" footer="0.31496062992125984"/>
      <pageSetup paperSize="9" scale="55" orientation="landscape" r:id="rId2"/>
    </customSheetView>
    <customSheetView guid="{CC63F85D-63B9-4AE4-A28C-227DAE744DBC}" showPageBreaks="1" topLeftCell="A22">
      <selection activeCell="C14" sqref="C14"/>
      <pageMargins left="0.70866141732283472" right="0.70866141732283472" top="0.74803149606299213" bottom="0.74803149606299213" header="0.31496062992125984" footer="0.31496062992125984"/>
      <pageSetup paperSize="9" scale="55" orientation="landscape" r:id="rId3"/>
    </customSheetView>
  </customSheetViews>
  <mergeCells count="13">
    <mergeCell ref="A5:B5"/>
    <mergeCell ref="A9:B9"/>
    <mergeCell ref="A15:B15"/>
    <mergeCell ref="A24:I24"/>
    <mergeCell ref="A3:A4"/>
    <mergeCell ref="B3:B4"/>
    <mergeCell ref="C3:C4"/>
    <mergeCell ref="A2:I2"/>
    <mergeCell ref="A1:I1"/>
    <mergeCell ref="I3:I4"/>
    <mergeCell ref="D3:D4"/>
    <mergeCell ref="E3:E4"/>
    <mergeCell ref="H3:H4"/>
  </mergeCells>
  <pageMargins left="0.70866141732283472" right="0.70866141732283472" top="0.74803149606299213" bottom="0.74803149606299213" header="0.31496062992125984" footer="0.31496062992125984"/>
  <pageSetup paperSize="9" scale="63" fitToHeight="0" orientation="landscape"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1.1. pielikums</vt:lpstr>
      <vt:lpstr>1.2. pielikums</vt:lpstr>
      <vt:lpstr>1.3. pielikums</vt:lpstr>
      <vt:lpstr>1.4. pielikums</vt:lpstr>
      <vt:lpstr>1.5. pielikums</vt:lpstr>
      <vt:lpstr>1.6. pielikums</vt:lpstr>
      <vt:lpstr>1.7. pielikums</vt:lpstr>
      <vt:lpstr>'1.2. pielikums'!Print_Titles</vt:lpstr>
      <vt:lpstr>'1.7. pielikums'!Print_Titles</vt:lpstr>
    </vt:vector>
  </TitlesOfParts>
  <Company>LRLM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Vjačeslavs Makarovs</dc:creator>
  <cp:lastModifiedBy>Vjaceslavs Makarovs</cp:lastModifiedBy>
  <cp:lastPrinted>2017-08-09T11:20:06Z</cp:lastPrinted>
  <dcterms:created xsi:type="dcterms:W3CDTF">2012-09-03T07:32:21Z</dcterms:created>
  <dcterms:modified xsi:type="dcterms:W3CDTF">2018-01-31T08:28:19Z</dcterms:modified>
</cp:coreProperties>
</file>